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liano\Desktop\"/>
    </mc:Choice>
  </mc:AlternateContent>
  <xr:revisionPtr revIDLastSave="0" documentId="8_{F77DA746-9997-4840-A6D4-6F91FBF70B90}" xr6:coauthVersionLast="36" xr6:coauthVersionMax="36" xr10:uidLastSave="{00000000-0000-0000-0000-000000000000}"/>
  <bookViews>
    <workbookView xWindow="0" yWindow="0" windowWidth="28800" windowHeight="11625" tabRatio="801" activeTab="2" xr2:uid="{00000000-000D-0000-FFFF-FFFF00000000}"/>
  </bookViews>
  <sheets>
    <sheet name="Intro" sheetId="14" r:id="rId1"/>
    <sheet name="Foglio1" sheetId="15" r:id="rId2"/>
    <sheet name="Stato Patrimoniale (input)" sheetId="1" r:id="rId3"/>
    <sheet name="Conto Economico (input)" sheetId="2" r:id="rId4"/>
    <sheet name="BILANCIO RIC. P-G (output)" sheetId="9" r:id="rId5"/>
    <sheet name="QUADRO DI SINTESI (output)" sheetId="10" r:id="rId6"/>
    <sheet name="Parametri Previsione (input)" sheetId="4" r:id="rId7"/>
    <sheet name="SP Previsionale L-E (output)" sheetId="7" r:id="rId8"/>
    <sheet name="CE Previsionale L-E (output)" sheetId="6" r:id="rId9"/>
    <sheet name="BILANCIO PREV P-G (output)" sheetId="12" r:id="rId10"/>
    <sheet name="QUADRO SINT PREV (output)" sheetId="11" r:id="rId11"/>
    <sheet name="Rendiconto Finanziario Storico" sheetId="13" state="hidden" r:id="rId12"/>
    <sheet name="Rend. Fin. Prev. (output)" sheetId="3" r:id="rId13"/>
    <sheet name="Modello di Calcolo a Parziali" sheetId="5" state="hidden" r:id="rId14"/>
    <sheet name="Indici di Bilancio" sheetId="8" state="hidden" r:id="rId15"/>
  </sheets>
  <definedNames>
    <definedName name="_xlnm.Print_Area" localSheetId="9">'BILANCIO PREV P-G (output)'!$A$1:$T$42</definedName>
    <definedName name="_xlnm.Print_Area" localSheetId="8">'CE Previsionale L-E (output)'!$A$1:$S$36</definedName>
    <definedName name="_xlnm.Print_Area" localSheetId="3">'Conto Economico (input)'!$A$1:$O$34</definedName>
    <definedName name="_xlnm.Print_Area" localSheetId="6">'Parametri Previsione (input)'!$A$1:$O$66</definedName>
    <definedName name="_xlnm.Print_Area" localSheetId="5">'QUADRO DI SINTESI (output)'!$A$1:$G$48</definedName>
    <definedName name="_xlnm.Print_Area" localSheetId="12">'Rend. Fin. Prev. (output)'!$A$1:$R$41</definedName>
    <definedName name="_xlnm.Print_Area" localSheetId="7">'SP Previsionale L-E (output)'!$A$1:$S$41</definedName>
    <definedName name="_xlnm.Print_Area" localSheetId="2">'Stato Patrimoniale (input)'!$A$1:$O$41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7" l="1"/>
  <c r="G24" i="7" s="1"/>
  <c r="O22" i="3"/>
  <c r="O14" i="3"/>
  <c r="P14" i="3"/>
  <c r="P22" i="3"/>
  <c r="F36" i="9"/>
  <c r="E39" i="10" s="1"/>
  <c r="E39" i="11" s="1"/>
  <c r="G36" i="9"/>
  <c r="G26" i="9" s="1"/>
  <c r="O28" i="6"/>
  <c r="O12" i="3" s="1"/>
  <c r="O22" i="6"/>
  <c r="O16" i="6"/>
  <c r="Q27" i="12" s="1"/>
  <c r="O10" i="6"/>
  <c r="F28" i="6"/>
  <c r="F18" i="6"/>
  <c r="P28" i="6"/>
  <c r="P22" i="6"/>
  <c r="P16" i="6"/>
  <c r="R27" i="12" s="1"/>
  <c r="P10" i="6"/>
  <c r="G28" i="6"/>
  <c r="G26" i="6"/>
  <c r="F26" i="6" s="1"/>
  <c r="Q19" i="12" s="1"/>
  <c r="G18" i="6"/>
  <c r="O28" i="5"/>
  <c r="N28" i="5"/>
  <c r="O28" i="7"/>
  <c r="P28" i="7"/>
  <c r="M22" i="1"/>
  <c r="Q22" i="7" s="1"/>
  <c r="Q32" i="7" s="1"/>
  <c r="H18" i="8" s="1"/>
  <c r="N4" i="1"/>
  <c r="M4" i="1"/>
  <c r="P18" i="5"/>
  <c r="O18" i="5" s="1"/>
  <c r="N18" i="5" s="1"/>
  <c r="Q18" i="7"/>
  <c r="P18" i="7"/>
  <c r="N24" i="12" s="1"/>
  <c r="R18" i="7"/>
  <c r="G30" i="9"/>
  <c r="F30" i="9"/>
  <c r="E37" i="10" s="1"/>
  <c r="M12" i="1"/>
  <c r="P12" i="5"/>
  <c r="N12" i="1"/>
  <c r="N18" i="9" s="1"/>
  <c r="N20" i="1"/>
  <c r="N34" i="1" s="1"/>
  <c r="N24" i="9"/>
  <c r="M24" i="9"/>
  <c r="I12" i="6"/>
  <c r="M30" i="9"/>
  <c r="E23" i="11" s="1"/>
  <c r="Q9" i="9"/>
  <c r="N32" i="1"/>
  <c r="M32" i="1"/>
  <c r="M34" i="1" s="1"/>
  <c r="G20" i="1"/>
  <c r="F20" i="1"/>
  <c r="H12" i="6"/>
  <c r="H5" i="13"/>
  <c r="M16" i="4"/>
  <c r="Q38" i="12"/>
  <c r="R38" i="12"/>
  <c r="R13" i="9"/>
  <c r="R27" i="9"/>
  <c r="Q16" i="6"/>
  <c r="Q13" i="9"/>
  <c r="R9" i="9"/>
  <c r="R22" i="7"/>
  <c r="P22" i="5"/>
  <c r="Q16" i="7"/>
  <c r="I26" i="7"/>
  <c r="R19" i="9"/>
  <c r="I26" i="6"/>
  <c r="I22" i="6"/>
  <c r="H14" i="7"/>
  <c r="G14" i="7" s="1"/>
  <c r="G14" i="12" s="1"/>
  <c r="R38" i="9"/>
  <c r="Q38" i="9"/>
  <c r="R36" i="9"/>
  <c r="Q36" i="9"/>
  <c r="R32" i="9"/>
  <c r="Q32" i="9"/>
  <c r="Q27" i="9"/>
  <c r="R23" i="9"/>
  <c r="Q23" i="9"/>
  <c r="Q19" i="9"/>
  <c r="R15" i="9"/>
  <c r="Q15" i="9"/>
  <c r="N10" i="9"/>
  <c r="C18" i="10" s="1"/>
  <c r="N20" i="9"/>
  <c r="N30" i="9"/>
  <c r="C23" i="11"/>
  <c r="N32" i="9"/>
  <c r="G32" i="9"/>
  <c r="M32" i="9"/>
  <c r="M22" i="9"/>
  <c r="M20" i="9"/>
  <c r="M10" i="9"/>
  <c r="E18" i="10"/>
  <c r="F32" i="9"/>
  <c r="G28" i="9"/>
  <c r="F28" i="9"/>
  <c r="G22" i="9"/>
  <c r="F22" i="9"/>
  <c r="G20" i="9"/>
  <c r="G34" i="9" s="1"/>
  <c r="C14" i="10" s="1"/>
  <c r="F20" i="9"/>
  <c r="G16" i="9"/>
  <c r="F16" i="9"/>
  <c r="G14" i="9"/>
  <c r="F14" i="9"/>
  <c r="G12" i="9"/>
  <c r="F12" i="9"/>
  <c r="G10" i="9"/>
  <c r="C43" i="11" s="1"/>
  <c r="F10" i="9"/>
  <c r="G6" i="6"/>
  <c r="F6" i="6" s="1"/>
  <c r="F6" i="8" s="1"/>
  <c r="G6" i="8"/>
  <c r="H10" i="6"/>
  <c r="G10" i="6"/>
  <c r="G28" i="5" s="1"/>
  <c r="G26" i="5" s="1"/>
  <c r="F28" i="3"/>
  <c r="Q10" i="6"/>
  <c r="H32" i="13" s="1"/>
  <c r="H28" i="3"/>
  <c r="R10" i="6"/>
  <c r="Q12" i="6"/>
  <c r="P12" i="6" s="1"/>
  <c r="O12" i="6" s="1"/>
  <c r="R12" i="6"/>
  <c r="H14" i="6"/>
  <c r="I14" i="6"/>
  <c r="R16" i="6"/>
  <c r="H18" i="6"/>
  <c r="I18" i="6"/>
  <c r="Q18" i="6"/>
  <c r="R18" i="6"/>
  <c r="H22" i="6"/>
  <c r="G22" i="6"/>
  <c r="R32" i="12"/>
  <c r="Q22" i="6"/>
  <c r="R22" i="6"/>
  <c r="H26" i="6"/>
  <c r="Q26" i="6"/>
  <c r="R26" i="6"/>
  <c r="H28" i="6"/>
  <c r="I28" i="6"/>
  <c r="Q28" i="6"/>
  <c r="R28" i="6"/>
  <c r="F4" i="2"/>
  <c r="F4" i="9" s="1"/>
  <c r="F6" i="2"/>
  <c r="G6" i="2"/>
  <c r="H4" i="5"/>
  <c r="H4" i="6"/>
  <c r="F6" i="5"/>
  <c r="H6" i="5"/>
  <c r="H6" i="6" s="1"/>
  <c r="P6" i="5"/>
  <c r="O6" i="5" s="1"/>
  <c r="P8" i="5"/>
  <c r="O8" i="5" s="1"/>
  <c r="N8" i="5" s="1"/>
  <c r="H10" i="5"/>
  <c r="P10" i="5"/>
  <c r="O10" i="5"/>
  <c r="N10" i="5" s="1"/>
  <c r="H12" i="5"/>
  <c r="G12" i="5" s="1"/>
  <c r="F12" i="5" s="1"/>
  <c r="H14" i="5"/>
  <c r="G14" i="5" s="1"/>
  <c r="F14" i="5" s="1"/>
  <c r="P14" i="5"/>
  <c r="O14" i="5"/>
  <c r="N14" i="5" s="1"/>
  <c r="N12" i="5" s="1"/>
  <c r="H16" i="5"/>
  <c r="G16" i="5" s="1"/>
  <c r="F16" i="5" s="1"/>
  <c r="P16" i="5"/>
  <c r="O16" i="5" s="1"/>
  <c r="N16" i="5" s="1"/>
  <c r="H22" i="5"/>
  <c r="H32" i="5" s="1"/>
  <c r="H24" i="5"/>
  <c r="P24" i="5"/>
  <c r="P26" i="5"/>
  <c r="H28" i="5"/>
  <c r="P28" i="5"/>
  <c r="H30" i="5"/>
  <c r="G30" i="5" s="1"/>
  <c r="P30" i="5"/>
  <c r="O30" i="5"/>
  <c r="N30" i="5" s="1"/>
  <c r="H5" i="3"/>
  <c r="Q5" i="3" s="1"/>
  <c r="G28" i="3"/>
  <c r="H4" i="7"/>
  <c r="G4" i="7" s="1"/>
  <c r="H6" i="7"/>
  <c r="I6" i="7"/>
  <c r="Q6" i="7"/>
  <c r="R6" i="7"/>
  <c r="Q8" i="7"/>
  <c r="P8" i="7" s="1"/>
  <c r="O8" i="7" s="1"/>
  <c r="R8" i="7"/>
  <c r="H10" i="7"/>
  <c r="H26" i="3" s="1"/>
  <c r="I10" i="7"/>
  <c r="Q10" i="7"/>
  <c r="P10" i="7" s="1"/>
  <c r="O10" i="7"/>
  <c r="R10" i="7"/>
  <c r="H12" i="7"/>
  <c r="I12" i="7"/>
  <c r="H24" i="3" s="1"/>
  <c r="I14" i="7"/>
  <c r="Q14" i="7"/>
  <c r="P14" i="7" s="1"/>
  <c r="R14" i="7"/>
  <c r="H16" i="7"/>
  <c r="G16" i="7" s="1"/>
  <c r="F16" i="7" s="1"/>
  <c r="F16" i="12" s="1"/>
  <c r="I16" i="7"/>
  <c r="H22" i="7"/>
  <c r="H20" i="8" s="1"/>
  <c r="I22" i="7"/>
  <c r="I20" i="8" s="1"/>
  <c r="I24" i="7"/>
  <c r="Q24" i="7"/>
  <c r="R24" i="7"/>
  <c r="Q26" i="7"/>
  <c r="R26" i="7"/>
  <c r="H28" i="7"/>
  <c r="I28" i="7"/>
  <c r="Q28" i="7"/>
  <c r="R28" i="7"/>
  <c r="H30" i="7"/>
  <c r="H32" i="7" s="1"/>
  <c r="I30" i="7"/>
  <c r="Q30" i="7"/>
  <c r="P30" i="7" s="1"/>
  <c r="O30" i="7" s="1"/>
  <c r="R30" i="7"/>
  <c r="Q36" i="7"/>
  <c r="R36" i="7"/>
  <c r="Q37" i="7"/>
  <c r="R37" i="7"/>
  <c r="Q38" i="7"/>
  <c r="R38" i="7"/>
  <c r="Q39" i="7"/>
  <c r="R39" i="7"/>
  <c r="I4" i="7"/>
  <c r="R4" i="7" s="1"/>
  <c r="G4" i="2"/>
  <c r="N4" i="2" s="1"/>
  <c r="H16" i="6"/>
  <c r="G16" i="6" s="1"/>
  <c r="Q12" i="8"/>
  <c r="I16" i="6"/>
  <c r="I10" i="6"/>
  <c r="H26" i="7"/>
  <c r="N22" i="9"/>
  <c r="R16" i="7"/>
  <c r="R11" i="9"/>
  <c r="C41" i="10" s="1"/>
  <c r="G20" i="2"/>
  <c r="G24" i="2"/>
  <c r="G30" i="2" s="1"/>
  <c r="N14" i="2" s="1"/>
  <c r="N20" i="2" s="1"/>
  <c r="N24" i="2" s="1"/>
  <c r="N30" i="2" s="1"/>
  <c r="H26" i="5"/>
  <c r="F32" i="1"/>
  <c r="F34" i="1" s="1"/>
  <c r="G32" i="1"/>
  <c r="G34" i="1" s="1"/>
  <c r="O10" i="3"/>
  <c r="P32" i="5"/>
  <c r="G4" i="5"/>
  <c r="F4" i="5" s="1"/>
  <c r="G5" i="3"/>
  <c r="P5" i="3" s="1"/>
  <c r="E18" i="11"/>
  <c r="E43" i="11"/>
  <c r="N14" i="4"/>
  <c r="N16" i="4" s="1"/>
  <c r="C8" i="11"/>
  <c r="I22" i="8"/>
  <c r="C23" i="10"/>
  <c r="M20" i="1"/>
  <c r="Q14" i="3"/>
  <c r="M18" i="9"/>
  <c r="P20" i="5"/>
  <c r="P34" i="5" s="1"/>
  <c r="F20" i="2"/>
  <c r="F24" i="2"/>
  <c r="F30" i="2" s="1"/>
  <c r="M14" i="2" s="1"/>
  <c r="M20" i="2" s="1"/>
  <c r="M24" i="2" s="1"/>
  <c r="M30" i="2" s="1"/>
  <c r="Q11" i="9"/>
  <c r="E19" i="10"/>
  <c r="E19" i="11"/>
  <c r="E8" i="10"/>
  <c r="E8" i="11"/>
  <c r="Q32" i="12"/>
  <c r="G10" i="5"/>
  <c r="F10" i="5" s="1"/>
  <c r="H10" i="13"/>
  <c r="M4" i="2"/>
  <c r="F14" i="7"/>
  <c r="F14" i="12" s="1"/>
  <c r="R19" i="12"/>
  <c r="R32" i="7"/>
  <c r="E35" i="11"/>
  <c r="E35" i="10"/>
  <c r="H14" i="8" l="1"/>
  <c r="H16" i="8"/>
  <c r="N20" i="12"/>
  <c r="O14" i="7"/>
  <c r="M20" i="12" s="1"/>
  <c r="C45" i="11"/>
  <c r="M4" i="9"/>
  <c r="Q4" i="9"/>
  <c r="C19" i="10"/>
  <c r="C24" i="10" s="1"/>
  <c r="C26" i="10" s="1"/>
  <c r="C19" i="11"/>
  <c r="C24" i="11" s="1"/>
  <c r="N38" i="9"/>
  <c r="H6" i="8"/>
  <c r="I6" i="6"/>
  <c r="I6" i="8" s="1"/>
  <c r="Q14" i="8"/>
  <c r="D19" i="11"/>
  <c r="H10" i="3"/>
  <c r="P18" i="8"/>
  <c r="G4" i="6"/>
  <c r="P4" i="6" s="1"/>
  <c r="H20" i="6"/>
  <c r="H24" i="6" s="1"/>
  <c r="H30" i="6" s="1"/>
  <c r="Q14" i="6" s="1"/>
  <c r="Q20" i="6" s="1"/>
  <c r="Q24" i="6" s="1"/>
  <c r="Q30" i="6" s="1"/>
  <c r="Q16" i="13" s="1"/>
  <c r="C41" i="11"/>
  <c r="Q18" i="8"/>
  <c r="F30" i="5"/>
  <c r="I18" i="8"/>
  <c r="H30" i="13"/>
  <c r="G18" i="9"/>
  <c r="C13" i="10" s="1"/>
  <c r="Q24" i="8"/>
  <c r="H28" i="13"/>
  <c r="F20" i="5"/>
  <c r="Q20" i="8"/>
  <c r="P10" i="3"/>
  <c r="E24" i="11"/>
  <c r="H8" i="3"/>
  <c r="R12" i="7"/>
  <c r="R20" i="7" s="1"/>
  <c r="R34" i="7" s="1"/>
  <c r="F18" i="9"/>
  <c r="E45" i="11" s="1"/>
  <c r="D18" i="10"/>
  <c r="R24" i="8"/>
  <c r="D23" i="10"/>
  <c r="P12" i="3"/>
  <c r="Q17" i="9"/>
  <c r="Q21" i="9" s="1"/>
  <c r="O18" i="7"/>
  <c r="M24" i="12" s="1"/>
  <c r="C43" i="10"/>
  <c r="R12" i="8"/>
  <c r="E37" i="11"/>
  <c r="G4" i="9"/>
  <c r="N4" i="9" s="1"/>
  <c r="E41" i="10"/>
  <c r="I32" i="7"/>
  <c r="R14" i="8" s="1"/>
  <c r="E23" i="10"/>
  <c r="E24" i="10" s="1"/>
  <c r="I20" i="7"/>
  <c r="I34" i="7" s="1"/>
  <c r="I12" i="8" s="1"/>
  <c r="H8" i="13"/>
  <c r="H12" i="13" s="1"/>
  <c r="Q25" i="9"/>
  <c r="Q30" i="9" s="1"/>
  <c r="Q34" i="9" s="1"/>
  <c r="Q40" i="9" s="1"/>
  <c r="Q12" i="7"/>
  <c r="Q20" i="7" s="1"/>
  <c r="Q34" i="7" s="1"/>
  <c r="Q14" i="13"/>
  <c r="P16" i="7"/>
  <c r="R13" i="12"/>
  <c r="F16" i="6"/>
  <c r="Q13" i="12" s="1"/>
  <c r="Q12" i="3"/>
  <c r="Q12" i="13"/>
  <c r="Q10" i="13"/>
  <c r="Q10" i="3"/>
  <c r="G22" i="12"/>
  <c r="F24" i="7"/>
  <c r="F22" i="12" s="1"/>
  <c r="E41" i="11"/>
  <c r="Q22" i="13"/>
  <c r="I20" i="6"/>
  <c r="I24" i="6" s="1"/>
  <c r="I30" i="6" s="1"/>
  <c r="O12" i="5"/>
  <c r="O20" i="5" s="1"/>
  <c r="Q33" i="3"/>
  <c r="Q32" i="13"/>
  <c r="F4" i="7"/>
  <c r="P4" i="7"/>
  <c r="R15" i="12"/>
  <c r="F22" i="6"/>
  <c r="Q15" i="12" s="1"/>
  <c r="C13" i="11"/>
  <c r="G38" i="9"/>
  <c r="R17" i="9"/>
  <c r="R21" i="9" s="1"/>
  <c r="C8" i="10"/>
  <c r="C16" i="10" s="1"/>
  <c r="G10" i="7"/>
  <c r="H20" i="7"/>
  <c r="C14" i="11"/>
  <c r="C16" i="11" s="1"/>
  <c r="H20" i="5"/>
  <c r="H34" i="5" s="1"/>
  <c r="D23" i="11"/>
  <c r="C4" i="10"/>
  <c r="E4" i="10" s="1"/>
  <c r="F6" i="4" s="1"/>
  <c r="D8" i="11"/>
  <c r="H4" i="8"/>
  <c r="Q4" i="6"/>
  <c r="I4" i="6"/>
  <c r="H18" i="3"/>
  <c r="H22" i="13"/>
  <c r="Q8" i="13"/>
  <c r="Q8" i="3"/>
  <c r="F10" i="6"/>
  <c r="G22" i="5"/>
  <c r="R9" i="12"/>
  <c r="G22" i="7"/>
  <c r="G8" i="3"/>
  <c r="G28" i="7"/>
  <c r="G26" i="7" s="1"/>
  <c r="G20" i="5"/>
  <c r="I14" i="8"/>
  <c r="H16" i="13"/>
  <c r="H20" i="13" s="1"/>
  <c r="G16" i="12"/>
  <c r="G4" i="12"/>
  <c r="N4" i="12" s="1"/>
  <c r="R4" i="12" s="1"/>
  <c r="Q22" i="3"/>
  <c r="F26" i="9"/>
  <c r="C39" i="10"/>
  <c r="C39" i="11" s="1"/>
  <c r="Q28" i="3" s="1"/>
  <c r="C18" i="11"/>
  <c r="M38" i="9"/>
  <c r="F5" i="3"/>
  <c r="O5" i="3" s="1"/>
  <c r="H22" i="8"/>
  <c r="Q4" i="7"/>
  <c r="E43" i="10"/>
  <c r="G12" i="7"/>
  <c r="G14" i="6"/>
  <c r="E26" i="10" l="1"/>
  <c r="E29" i="11"/>
  <c r="E29" i="10"/>
  <c r="D24" i="10"/>
  <c r="C45" i="10"/>
  <c r="I16" i="8"/>
  <c r="E13" i="11"/>
  <c r="D13" i="11" s="1"/>
  <c r="G4" i="8"/>
  <c r="H12" i="3"/>
  <c r="E45" i="10"/>
  <c r="C29" i="10"/>
  <c r="R4" i="9"/>
  <c r="E13" i="10"/>
  <c r="D13" i="10" s="1"/>
  <c r="C21" i="10"/>
  <c r="F4" i="6"/>
  <c r="D24" i="11"/>
  <c r="E26" i="11"/>
  <c r="D19" i="10"/>
  <c r="C29" i="11"/>
  <c r="C4" i="11"/>
  <c r="E4" i="11" s="1"/>
  <c r="G4" i="11" s="1"/>
  <c r="I4" i="11" s="1"/>
  <c r="C37" i="11"/>
  <c r="C21" i="11"/>
  <c r="D18" i="11"/>
  <c r="C26" i="11"/>
  <c r="G20" i="8"/>
  <c r="G20" i="12"/>
  <c r="F22" i="5"/>
  <c r="F22" i="7"/>
  <c r="O18" i="8"/>
  <c r="F28" i="5"/>
  <c r="F26" i="5" s="1"/>
  <c r="Q9" i="12"/>
  <c r="F28" i="7"/>
  <c r="F26" i="7" s="1"/>
  <c r="F8" i="3"/>
  <c r="M6" i="4"/>
  <c r="M38" i="4" s="1"/>
  <c r="G6" i="4"/>
  <c r="F38" i="4"/>
  <c r="C9" i="11"/>
  <c r="C11" i="11" s="1"/>
  <c r="C9" i="10"/>
  <c r="C28" i="11" s="1"/>
  <c r="E21" i="10"/>
  <c r="F4" i="12"/>
  <c r="M4" i="12" s="1"/>
  <c r="Q4" i="12" s="1"/>
  <c r="O4" i="7"/>
  <c r="E21" i="11"/>
  <c r="R14" i="6"/>
  <c r="R20" i="6" s="1"/>
  <c r="R24" i="6" s="1"/>
  <c r="R30" i="6" s="1"/>
  <c r="R22" i="8" s="1"/>
  <c r="R16" i="8"/>
  <c r="G8" i="11"/>
  <c r="H22" i="3"/>
  <c r="H34" i="7"/>
  <c r="H26" i="13"/>
  <c r="Q18" i="13" s="1"/>
  <c r="R25" i="9"/>
  <c r="R30" i="9" s="1"/>
  <c r="R34" i="9" s="1"/>
  <c r="R40" i="9" s="1"/>
  <c r="C28" i="10"/>
  <c r="N22" i="12"/>
  <c r="P12" i="7"/>
  <c r="N18" i="12" s="1"/>
  <c r="G19" i="11" s="1"/>
  <c r="F19" i="11" s="1"/>
  <c r="O16" i="7"/>
  <c r="G24" i="5"/>
  <c r="G12" i="6"/>
  <c r="G20" i="6" s="1"/>
  <c r="G24" i="6" s="1"/>
  <c r="G30" i="6" s="1"/>
  <c r="G32" i="5"/>
  <c r="G34" i="5" s="1"/>
  <c r="G20" i="7"/>
  <c r="G43" i="11"/>
  <c r="F10" i="7"/>
  <c r="G26" i="3"/>
  <c r="G10" i="12"/>
  <c r="Q22" i="8"/>
  <c r="Q16" i="3"/>
  <c r="Q24" i="13"/>
  <c r="Q26" i="13" s="1"/>
  <c r="G22" i="8"/>
  <c r="G28" i="12"/>
  <c r="G10" i="3"/>
  <c r="G12" i="3" s="1"/>
  <c r="O26" i="5"/>
  <c r="O22" i="5" s="1"/>
  <c r="P26" i="7"/>
  <c r="R11" i="12"/>
  <c r="G41" i="11" s="1"/>
  <c r="F14" i="6"/>
  <c r="G24" i="3"/>
  <c r="G12" i="12"/>
  <c r="F12" i="7"/>
  <c r="E36" i="11"/>
  <c r="F34" i="9"/>
  <c r="E36" i="10"/>
  <c r="R4" i="6"/>
  <c r="I4" i="8"/>
  <c r="C35" i="10"/>
  <c r="D8" i="10"/>
  <c r="C37" i="10"/>
  <c r="C36" i="11"/>
  <c r="C36" i="10"/>
  <c r="C11" i="10"/>
  <c r="O4" i="6"/>
  <c r="F4" i="8"/>
  <c r="E31" i="11"/>
  <c r="E31" i="10"/>
  <c r="H24" i="13"/>
  <c r="Q24" i="3"/>
  <c r="Q26" i="3" s="1"/>
  <c r="C35" i="11"/>
  <c r="P24" i="8" l="1"/>
  <c r="F24" i="3"/>
  <c r="F12" i="12"/>
  <c r="N26" i="5"/>
  <c r="O26" i="7"/>
  <c r="F20" i="7"/>
  <c r="I43" i="11"/>
  <c r="F26" i="3"/>
  <c r="F10" i="12"/>
  <c r="F18" i="12" s="1"/>
  <c r="P14" i="6"/>
  <c r="G37" i="5" s="1"/>
  <c r="M22" i="12"/>
  <c r="O12" i="7"/>
  <c r="M18" i="12" s="1"/>
  <c r="I19" i="11" s="1"/>
  <c r="H19" i="11" s="1"/>
  <c r="C31" i="10"/>
  <c r="C31" i="11"/>
  <c r="I8" i="11"/>
  <c r="F20" i="12"/>
  <c r="F20" i="8"/>
  <c r="Q18" i="3"/>
  <c r="F8" i="11"/>
  <c r="F12" i="6"/>
  <c r="F20" i="6" s="1"/>
  <c r="F24" i="6" s="1"/>
  <c r="F30" i="6" s="1"/>
  <c r="F32" i="5"/>
  <c r="F34" i="5" s="1"/>
  <c r="F24" i="5"/>
  <c r="O32" i="5"/>
  <c r="O34" i="5" s="1"/>
  <c r="H12" i="8"/>
  <c r="Q16" i="8"/>
  <c r="G38" i="4"/>
  <c r="N6" i="4"/>
  <c r="N38" i="4" s="1"/>
  <c r="E14" i="11"/>
  <c r="E14" i="10"/>
  <c r="F38" i="9"/>
  <c r="G32" i="12"/>
  <c r="P12" i="8"/>
  <c r="G22" i="3"/>
  <c r="F28" i="12"/>
  <c r="F22" i="8"/>
  <c r="G35" i="11"/>
  <c r="G18" i="12"/>
  <c r="Q20" i="13"/>
  <c r="Q28" i="13" s="1"/>
  <c r="R17" i="12"/>
  <c r="R21" i="12" s="1"/>
  <c r="Q11" i="12" l="1"/>
  <c r="G38" i="5"/>
  <c r="P18" i="6" s="1"/>
  <c r="G39" i="5" s="1"/>
  <c r="O14" i="6"/>
  <c r="H8" i="11"/>
  <c r="F10" i="3"/>
  <c r="F12" i="3" s="1"/>
  <c r="G13" i="11"/>
  <c r="F13" i="11" s="1"/>
  <c r="G45" i="11"/>
  <c r="D14" i="11"/>
  <c r="H14" i="3"/>
  <c r="H16" i="3" s="1"/>
  <c r="H20" i="3" s="1"/>
  <c r="E16" i="11"/>
  <c r="E16" i="10"/>
  <c r="D14" i="10"/>
  <c r="F22" i="3"/>
  <c r="F32" i="12"/>
  <c r="O12" i="8"/>
  <c r="I13" i="11"/>
  <c r="I45" i="11"/>
  <c r="E9" i="10"/>
  <c r="E9" i="11"/>
  <c r="I35" i="11"/>
  <c r="Q20" i="3"/>
  <c r="Q30" i="3" s="1"/>
  <c r="O24" i="8"/>
  <c r="G30" i="7" l="1"/>
  <c r="P20" i="6"/>
  <c r="P24" i="6" s="1"/>
  <c r="I41" i="11"/>
  <c r="Q17" i="12"/>
  <c r="Q21" i="12" s="1"/>
  <c r="G36" i="12"/>
  <c r="G39" i="11" s="1"/>
  <c r="P28" i="3" s="1"/>
  <c r="G32" i="7"/>
  <c r="P26" i="6"/>
  <c r="P30" i="6" s="1"/>
  <c r="E11" i="11"/>
  <c r="D9" i="11"/>
  <c r="R23" i="12"/>
  <c r="P8" i="3"/>
  <c r="H13" i="11"/>
  <c r="D9" i="10"/>
  <c r="E11" i="10"/>
  <c r="E28" i="10"/>
  <c r="E28" i="11"/>
  <c r="H38" i="3"/>
  <c r="H36" i="3"/>
  <c r="H37" i="3" s="1"/>
  <c r="H35" i="3"/>
  <c r="P24" i="7"/>
  <c r="R25" i="12" l="1"/>
  <c r="R30" i="12" s="1"/>
  <c r="R34" i="12" s="1"/>
  <c r="P22" i="8"/>
  <c r="P6" i="7"/>
  <c r="P14" i="8"/>
  <c r="G34" i="7"/>
  <c r="P33" i="3"/>
  <c r="N30" i="12"/>
  <c r="G26" i="12"/>
  <c r="G18" i="3"/>
  <c r="R36" i="12"/>
  <c r="P22" i="7"/>
  <c r="R40" i="12" l="1"/>
  <c r="G31" i="11" s="1"/>
  <c r="F31" i="11" s="1"/>
  <c r="P32" i="7"/>
  <c r="G30" i="12"/>
  <c r="G37" i="11" s="1"/>
  <c r="N22" i="5"/>
  <c r="N32" i="12"/>
  <c r="G23" i="11"/>
  <c r="G36" i="11"/>
  <c r="G34" i="12"/>
  <c r="G12" i="8"/>
  <c r="P16" i="8"/>
  <c r="N6" i="5"/>
  <c r="P16" i="3"/>
  <c r="P18" i="3" s="1"/>
  <c r="P20" i="8"/>
  <c r="N10" i="12"/>
  <c r="G18" i="11" s="1"/>
  <c r="P20" i="7"/>
  <c r="P34" i="7" s="1"/>
  <c r="P24" i="3"/>
  <c r="P26" i="3" s="1"/>
  <c r="G14" i="11" l="1"/>
  <c r="G38" i="12"/>
  <c r="G18" i="8"/>
  <c r="G16" i="8"/>
  <c r="G14" i="8"/>
  <c r="N38" i="12"/>
  <c r="G21" i="11"/>
  <c r="F21" i="11" s="1"/>
  <c r="F18" i="11"/>
  <c r="G24" i="11"/>
  <c r="F23" i="11"/>
  <c r="N20" i="5"/>
  <c r="F37" i="5"/>
  <c r="N32" i="5"/>
  <c r="F24" i="11" l="1"/>
  <c r="G26" i="11"/>
  <c r="F26" i="11" s="1"/>
  <c r="G29" i="11"/>
  <c r="F29" i="11" s="1"/>
  <c r="G9" i="11"/>
  <c r="G28" i="11"/>
  <c r="F28" i="11" s="1"/>
  <c r="N34" i="5"/>
  <c r="G14" i="3"/>
  <c r="G16" i="3" s="1"/>
  <c r="G20" i="3" s="1"/>
  <c r="G16" i="11"/>
  <c r="F16" i="11" s="1"/>
  <c r="F14" i="11"/>
  <c r="F38" i="5"/>
  <c r="O18" i="6" s="1"/>
  <c r="O8" i="3" l="1"/>
  <c r="Q23" i="12"/>
  <c r="O20" i="6"/>
  <c r="O24" i="6" s="1"/>
  <c r="G36" i="3"/>
  <c r="G37" i="3" s="1"/>
  <c r="G35" i="3"/>
  <c r="G38" i="3"/>
  <c r="P20" i="3"/>
  <c r="P30" i="3" s="1"/>
  <c r="F30" i="7"/>
  <c r="F9" i="11"/>
  <c r="G11" i="11"/>
  <c r="F11" i="11" s="1"/>
  <c r="F39" i="5"/>
  <c r="O24" i="7"/>
  <c r="Q25" i="12" l="1"/>
  <c r="Q30" i="12" s="1"/>
  <c r="Q34" i="12" s="1"/>
  <c r="O26" i="6"/>
  <c r="O30" i="6" s="1"/>
  <c r="M30" i="12"/>
  <c r="O33" i="3"/>
  <c r="F36" i="12"/>
  <c r="I39" i="11" s="1"/>
  <c r="O28" i="3" s="1"/>
  <c r="F32" i="7"/>
  <c r="F26" i="12" l="1"/>
  <c r="O22" i="8"/>
  <c r="O6" i="7"/>
  <c r="I36" i="11"/>
  <c r="O14" i="8"/>
  <c r="F34" i="7"/>
  <c r="I23" i="11"/>
  <c r="M32" i="12"/>
  <c r="F18" i="3"/>
  <c r="Q36" i="12"/>
  <c r="Q40" i="12" s="1"/>
  <c r="I31" i="11" s="1"/>
  <c r="H31" i="11" s="1"/>
  <c r="O22" i="7"/>
  <c r="F12" i="8" l="1"/>
  <c r="O16" i="8"/>
  <c r="O20" i="8"/>
  <c r="O24" i="3"/>
  <c r="O26" i="3" s="1"/>
  <c r="O20" i="7"/>
  <c r="M10" i="12"/>
  <c r="O16" i="3"/>
  <c r="O18" i="3" s="1"/>
  <c r="O32" i="7"/>
  <c r="F30" i="12"/>
  <c r="I24" i="11"/>
  <c r="H23" i="11"/>
  <c r="F18" i="8" l="1"/>
  <c r="F16" i="8"/>
  <c r="F14" i="8"/>
  <c r="I37" i="11"/>
  <c r="F34" i="12"/>
  <c r="H24" i="11"/>
  <c r="I29" i="11"/>
  <c r="H29" i="11" s="1"/>
  <c r="I18" i="11"/>
  <c r="M38" i="12"/>
  <c r="O34" i="7"/>
  <c r="I21" i="11" l="1"/>
  <c r="H21" i="11" s="1"/>
  <c r="H18" i="11"/>
  <c r="I26" i="11"/>
  <c r="H26" i="11" s="1"/>
  <c r="I14" i="11"/>
  <c r="F38" i="12"/>
  <c r="I9" i="11" l="1"/>
  <c r="I28" i="11"/>
  <c r="H28" i="11" s="1"/>
  <c r="I16" i="11"/>
  <c r="H16" i="11" s="1"/>
  <c r="F14" i="3"/>
  <c r="F16" i="3" s="1"/>
  <c r="F20" i="3" s="1"/>
  <c r="H14" i="11"/>
  <c r="H9" i="11" l="1"/>
  <c r="I11" i="11"/>
  <c r="H11" i="11" s="1"/>
  <c r="F38" i="3"/>
  <c r="F35" i="3"/>
  <c r="F36" i="3"/>
  <c r="F37" i="3" s="1"/>
  <c r="O20" i="3"/>
  <c r="O30" i="3" s="1"/>
</calcChain>
</file>

<file path=xl/sharedStrings.xml><?xml version="1.0" encoding="utf-8"?>
<sst xmlns="http://schemas.openxmlformats.org/spreadsheetml/2006/main" count="423" uniqueCount="227">
  <si>
    <t>BILANCIO D'ESERCIZIO AL (aaaa/mm)</t>
  </si>
  <si>
    <t>RELATIVO A MESI DI ATTIVITA'</t>
  </si>
  <si>
    <t>Immobiliz. Immateriali</t>
  </si>
  <si>
    <t>Immobiliz. Materiali</t>
  </si>
  <si>
    <t>Attivo Fin. Immobiliz</t>
  </si>
  <si>
    <t>di cui Partecipazioni</t>
  </si>
  <si>
    <t>Totale Attivo Immobilizzato</t>
  </si>
  <si>
    <t>Rimanenze</t>
  </si>
  <si>
    <t>di cui lavori in corso</t>
  </si>
  <si>
    <t>Crediti</t>
  </si>
  <si>
    <t>di cui crediti commerciali</t>
  </si>
  <si>
    <t>Totale Attivo Corrente</t>
  </si>
  <si>
    <t>Totale Attivo</t>
  </si>
  <si>
    <t>Patrimonio Netto</t>
  </si>
  <si>
    <t>Fondi per Rischi e Oneri</t>
  </si>
  <si>
    <t>Fondo TFR</t>
  </si>
  <si>
    <t>Debiti Consolidati</t>
  </si>
  <si>
    <t>di cui verso banche</t>
  </si>
  <si>
    <t>di cui verso fornitori</t>
  </si>
  <si>
    <t>di cui fin.verso soci e azionisti</t>
  </si>
  <si>
    <t>Totale Capitali Permanenti</t>
  </si>
  <si>
    <t>Debiti entro esercizio successivo</t>
  </si>
  <si>
    <t>di cui verso soci per prelievi</t>
  </si>
  <si>
    <t>Altre Passività</t>
  </si>
  <si>
    <t>Totale Passivo Corrente</t>
  </si>
  <si>
    <t>Totale Passivo</t>
  </si>
  <si>
    <t>Ricavi Netti</t>
  </si>
  <si>
    <t>+/- Variazione Rimanenze</t>
  </si>
  <si>
    <t>- Costi per servizi e god. beni di terzi</t>
  </si>
  <si>
    <t>- Acquisti Netti</t>
  </si>
  <si>
    <t>+ Altre Partite</t>
  </si>
  <si>
    <t>Valore Aggiunto Operativo</t>
  </si>
  <si>
    <t>- Costo del Lavoro</t>
  </si>
  <si>
    <t>Margine Operativo Lordo</t>
  </si>
  <si>
    <t>- Ammortamenti Immob. Materiali</t>
  </si>
  <si>
    <t>- Sval. Circolante e acc. Operativi</t>
  </si>
  <si>
    <t>Margine Operativo Netto</t>
  </si>
  <si>
    <t>+/- Saldo: ricavi-oneri diversi</t>
  </si>
  <si>
    <t>- Ammortamenti Immob. Immateriali</t>
  </si>
  <si>
    <t>Utile Cor. Ante Gestione Finanziaria</t>
  </si>
  <si>
    <t>+ Proventi Finanziari</t>
  </si>
  <si>
    <t>- Oneri Finanziari</t>
  </si>
  <si>
    <t>Utile Corrente</t>
  </si>
  <si>
    <t>+/- Saldo Partite Straordinarie</t>
  </si>
  <si>
    <t>Risultato Rettificato Ante Imposte</t>
  </si>
  <si>
    <t>- Imposte</t>
  </si>
  <si>
    <t>+/- Saldo Altre Componenti</t>
  </si>
  <si>
    <t>Utile (Perdita) dell'Esercizio</t>
  </si>
  <si>
    <t>Altre Attività</t>
  </si>
  <si>
    <t>- Costi di Gestione</t>
  </si>
  <si>
    <t>- Var. Cap. Circ. Netto Operativo</t>
  </si>
  <si>
    <t xml:space="preserve">  Ricavi di Gestione</t>
  </si>
  <si>
    <t>Cash Flow Ante Imposte</t>
  </si>
  <si>
    <t>Cash Flow Gestionale Netto</t>
  </si>
  <si>
    <t>di cui Immobilizz. Immat.</t>
  </si>
  <si>
    <t>di cui Imm. Materiali</t>
  </si>
  <si>
    <t>+/- Saldo Ricavi e Oneri diversi</t>
  </si>
  <si>
    <t>Proventi Finanziari</t>
  </si>
  <si>
    <t>- Rimb. Deb. Fin. Medio/Lungo</t>
  </si>
  <si>
    <t>- Diminuzione del Patrimonio Netto</t>
  </si>
  <si>
    <t>Totale Impieghi Extra Gest. Corr.</t>
  </si>
  <si>
    <t>-/+Variazione Immobilizzazioni</t>
  </si>
  <si>
    <t>Fabb. coperto con Fonti Esterne</t>
  </si>
  <si>
    <t>Incremento Deb. Fin. Medio/Lungo</t>
  </si>
  <si>
    <t>Aumento Patrimonio Netto</t>
  </si>
  <si>
    <t>Totale Finanziamenti Durevoli</t>
  </si>
  <si>
    <t>Fabb. coperto con Fonti a breve</t>
  </si>
  <si>
    <t>Variazione Debiti a breve verso banche</t>
  </si>
  <si>
    <t>AREA ECONOMICA</t>
  </si>
  <si>
    <t>Var. % Fatturato</t>
  </si>
  <si>
    <t xml:space="preserve">BILANCIO PREVISIONALE AL </t>
  </si>
  <si>
    <t>AREA COMMERCIALE</t>
  </si>
  <si>
    <t>gg. Rotazione media scorte</t>
  </si>
  <si>
    <t>Var. % Costi Servizi e god. beni terzi</t>
  </si>
  <si>
    <t>Var. % Costo del Lavoro</t>
  </si>
  <si>
    <t>AREA INVESTIMENTI</t>
  </si>
  <si>
    <t>Nuovi Investimenti Imm. Materiali</t>
  </si>
  <si>
    <t>Aliquota Ammortamento</t>
  </si>
  <si>
    <t>Nuovi Investimenti Imm.Immateriali</t>
  </si>
  <si>
    <t>Nuovi Investimenti Att. Finanziarie</t>
  </si>
  <si>
    <t>Cessione Imm. Mat. (val. cont. residuo)</t>
  </si>
  <si>
    <t>anni residuo ammortamento</t>
  </si>
  <si>
    <t>Cessione Imm. Immat. (val. cont. residuo)</t>
  </si>
  <si>
    <t>Cessione Att. Finanziarie</t>
  </si>
  <si>
    <t>gg. Crediti verso clienti</t>
  </si>
  <si>
    <t>gg. Debiti verso fornitori</t>
  </si>
  <si>
    <t>AREA FINANZIAMENTI</t>
  </si>
  <si>
    <t>Aumenti Patrimonio Netto</t>
  </si>
  <si>
    <t>Diminuzioni Patrimonio Netto</t>
  </si>
  <si>
    <t>Aumenti Banche Medio/Lungo</t>
  </si>
  <si>
    <t>Diminuzioni Banche Medio/Lungo</t>
  </si>
  <si>
    <t>Aumenti Fin. Soci e azionisti</t>
  </si>
  <si>
    <t>Diminuzioni Fin. Soci e azionisti</t>
  </si>
  <si>
    <t>Flusso banche a breve</t>
  </si>
  <si>
    <t>Tasso medio debiti finanziari</t>
  </si>
  <si>
    <t>Incidenza Imposte sul reddito lordo</t>
  </si>
  <si>
    <t>Indebitamento Medio</t>
  </si>
  <si>
    <t>Debiti gest. entro esercizio successivo</t>
  </si>
  <si>
    <t>Banche a breve</t>
  </si>
  <si>
    <t>Indici di Bilancio (Industriali)</t>
  </si>
  <si>
    <t>Leverage (%)</t>
  </si>
  <si>
    <t>Liquidità Corrente (%)</t>
  </si>
  <si>
    <t>Liquidità Immediata (%)</t>
  </si>
  <si>
    <t>Debiti a breve/Fatturato (%)</t>
  </si>
  <si>
    <t>Giorni Medi Scorta</t>
  </si>
  <si>
    <t>Giorni Credito Clienti</t>
  </si>
  <si>
    <t>Giorni Credito Fornitori</t>
  </si>
  <si>
    <t>Rotazione Capitale Esercizio (%)</t>
  </si>
  <si>
    <t>Roi return of investment (%)</t>
  </si>
  <si>
    <t>Variazione Fatturato in %</t>
  </si>
  <si>
    <t>Variazione Capitale Proprio in %</t>
  </si>
  <si>
    <t>Cash Flow</t>
  </si>
  <si>
    <t>Immobiliz. Materiali (1)</t>
  </si>
  <si>
    <t>di cui lavori in corso (2)</t>
  </si>
  <si>
    <t>di cui crediti commerciali (3)</t>
  </si>
  <si>
    <t>Patrimonio Netto (4)</t>
  </si>
  <si>
    <t xml:space="preserve">RELATIVO AL BILANCIO </t>
  </si>
  <si>
    <t>Patrimonio Netto  (4)</t>
  </si>
  <si>
    <t>Crediti (3)</t>
  </si>
  <si>
    <t xml:space="preserve">di cui crediti commerciali </t>
  </si>
  <si>
    <t>Debiti entro esercizio successivo (3)</t>
  </si>
  <si>
    <t>Var. % crediti non commerciali</t>
  </si>
  <si>
    <t>Var. % altre attività</t>
  </si>
  <si>
    <t>di cui Acc. rischi e oneri  per euro</t>
  </si>
  <si>
    <t xml:space="preserve"> Sval. Circ e Acc. Operativi per euro</t>
  </si>
  <si>
    <t>Var. % altre passività</t>
  </si>
  <si>
    <t>Debiti per prelievi attesi per euro</t>
  </si>
  <si>
    <t>Var. % debiti gestione a breve</t>
  </si>
  <si>
    <t>+/- Saldo Partite Straordinarie attese euro</t>
  </si>
  <si>
    <t>Proventi finanziari attesi</t>
  </si>
  <si>
    <t>Altre Partite attese per euro</t>
  </si>
  <si>
    <t>Saldo Ricavi e Oneri diversi previsti per euro</t>
  </si>
  <si>
    <t>+/-Saldo altre componenti</t>
  </si>
  <si>
    <t>Var. % Acquisti Netti</t>
  </si>
  <si>
    <t>Costi Materiali/Fatturato</t>
  </si>
  <si>
    <t>Capitale Fisso</t>
  </si>
  <si>
    <t>CCNO (Capitale di Giro)</t>
  </si>
  <si>
    <t>Capitale Investito Netto</t>
  </si>
  <si>
    <t>Capitale di terzi a medio lungo</t>
  </si>
  <si>
    <t>Capitale di terzi a breve</t>
  </si>
  <si>
    <t>Fonti di Capitale</t>
  </si>
  <si>
    <t xml:space="preserve">di cui lavori in corso </t>
  </si>
  <si>
    <t xml:space="preserve">Crediti di Gestione </t>
  </si>
  <si>
    <t xml:space="preserve">Immobiliz. Materiali </t>
  </si>
  <si>
    <t>di cui altri debiti finanziari</t>
  </si>
  <si>
    <t>STATO PATRIMONIALE AL (aaaa/mm)</t>
  </si>
  <si>
    <t>CONTO ECONOMICO AL (aaaa/mm)</t>
  </si>
  <si>
    <t>Costo Materiali</t>
  </si>
  <si>
    <t>Costo Servizi</t>
  </si>
  <si>
    <t>Costo lavoro</t>
  </si>
  <si>
    <t>Ammortamenti</t>
  </si>
  <si>
    <t>Oneri Finanziari</t>
  </si>
  <si>
    <t>Utile Gestione Caratteristica</t>
  </si>
  <si>
    <t>+/- Proventi/Oneri Non caratteristici</t>
  </si>
  <si>
    <t>Proventi / Oneri non caratteristici</t>
  </si>
  <si>
    <t>Utile Gestione Ordinaria</t>
  </si>
  <si>
    <t>Var %</t>
  </si>
  <si>
    <t>Fatturato</t>
  </si>
  <si>
    <t>Capitale Investito</t>
  </si>
  <si>
    <t xml:space="preserve">QUADRO DI SINTESI </t>
  </si>
  <si>
    <t>Turnover</t>
  </si>
  <si>
    <t>gg. Ciclo monetario</t>
  </si>
  <si>
    <t>Capitale Proprio</t>
  </si>
  <si>
    <t>Capitale di Terzi m/l</t>
  </si>
  <si>
    <t>Coefficiente di copertura del Capitale Fisso</t>
  </si>
  <si>
    <t>Capitale di Terzi a breve</t>
  </si>
  <si>
    <t>Capitale di Terzi Totale</t>
  </si>
  <si>
    <t>Coefficiente di indebitamento finanziario</t>
  </si>
  <si>
    <t>ROI</t>
  </si>
  <si>
    <t>i</t>
  </si>
  <si>
    <t>Risultato di Bilancio</t>
  </si>
  <si>
    <t>Dettaglio ciclo monetario</t>
  </si>
  <si>
    <t>gg magazzino</t>
  </si>
  <si>
    <t>gg crediti di gestione</t>
  </si>
  <si>
    <t>gg debiti di gestione</t>
  </si>
  <si>
    <t>Costo Materiali/Fatturato</t>
  </si>
  <si>
    <t>Immobilizzazioni Immateriali</t>
  </si>
  <si>
    <t>Incidenza Ammortamenti su CF</t>
  </si>
  <si>
    <t>Imposte</t>
  </si>
  <si>
    <t>(Debiti di Gestione)</t>
  </si>
  <si>
    <t xml:space="preserve">(1) al netto  del fondo ammortamento </t>
  </si>
  <si>
    <t xml:space="preserve">(2) al netto di acconti </t>
  </si>
  <si>
    <t>(3) compreso crediti scontati</t>
  </si>
  <si>
    <t xml:space="preserve">(4) al netto soci conto prelievo utili </t>
  </si>
  <si>
    <t>(1) al netto  del fondo ammortamento</t>
  </si>
  <si>
    <t xml:space="preserve">(3) compreso crediti scontati </t>
  </si>
  <si>
    <t>(4) al netto soci conto prelievo utili</t>
  </si>
  <si>
    <t>Stato patr. Previsionale società (Industriali/Commerciali/Servizi)</t>
  </si>
  <si>
    <t>Parametri Previsione</t>
  </si>
  <si>
    <t>Stato patrimoniale previsionale</t>
  </si>
  <si>
    <t xml:space="preserve">Conto Economico Previsionale </t>
  </si>
  <si>
    <t xml:space="preserve">Rendiconto Finanziario </t>
  </si>
  <si>
    <t>LOGO ORDINE</t>
  </si>
  <si>
    <t>BUSINESS PLAN</t>
  </si>
  <si>
    <t xml:space="preserve">Esempio: LA NOSTRA MISSIONE: 
</t>
  </si>
  <si>
    <t>PRESENTAZIONE AZIENDA</t>
  </si>
  <si>
    <t>MISSION</t>
  </si>
  <si>
    <t>ESEMPIO: L'azienda è stata costituita in data …..</t>
  </si>
  <si>
    <t>PARTE DESCRITTIVA</t>
  </si>
  <si>
    <t>ANALISI DI MERCATO</t>
  </si>
  <si>
    <t xml:space="preserve">Esempio: strategia utilizzata, prezzi applicati, analisi della concorrenza, indicazione 10 clienti principali, ecc
</t>
  </si>
  <si>
    <t>MOTIVAZIONE DELLA RICHIESTA DEL FINANZIAMENTO</t>
  </si>
  <si>
    <t>Esempio: menu' a tendina con scelta delle tre tipologie di finanziamento previste dal Microcredito: 1. acquisto beni/servizi strumentali; 2. assunzione di nuovo personale o nuovi soci lavoratori; 3. pagamento corsi di formazione per dipendenti o imprenditori/soci</t>
  </si>
  <si>
    <t>FATTIBILITA' TECNICA DEL PIANO</t>
  </si>
  <si>
    <t>Esempio: spiegazione dei flussi di cassa per il sostenimento della rata di finanziamento</t>
  </si>
  <si>
    <t>di cui "finanziamento microcredito"</t>
  </si>
  <si>
    <t>Aumenti Fin. Microcredito</t>
  </si>
  <si>
    <t>Diminuzioni Fin. Fin. Microcredito</t>
  </si>
  <si>
    <t>di cui fin. Microcredito</t>
  </si>
  <si>
    <t>Stato patrimoniale (storico)</t>
  </si>
  <si>
    <t>Conto Economico (storico)</t>
  </si>
  <si>
    <t>QUADRO DI SINTESI (storico)</t>
  </si>
  <si>
    <t>BILANCIO RICLASSIFICATO pertinenza gestionale (storico)</t>
  </si>
  <si>
    <t>di cui verso banche e altri fin.</t>
  </si>
  <si>
    <t>EBITDA</t>
  </si>
  <si>
    <t>EBIT</t>
  </si>
  <si>
    <t xml:space="preserve">BILANCIO PREVISIONALE pertinenza gestionale </t>
  </si>
  <si>
    <t>QUADRO DI SINTESI (previsionale)</t>
  </si>
  <si>
    <t>INDICI RILEVANTI</t>
  </si>
  <si>
    <t>CASH FLOW GESTIONALE NETTO</t>
  </si>
  <si>
    <t>FCFO</t>
  </si>
  <si>
    <t>FCFE</t>
  </si>
  <si>
    <t>DSCR (su flussi)</t>
  </si>
  <si>
    <t xml:space="preserve">variazione attesa fondo TFR </t>
  </si>
  <si>
    <t>Extragestione</t>
  </si>
  <si>
    <t>Var. Cap. Circ. Netto Operativo</t>
  </si>
  <si>
    <t>Aumento Extragestione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</si>
</sst>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.0000"/>
    <numFmt numFmtId="166" formatCode="_-* #,##0.00_-;\-* #,##0.00_-;_-* &quot;-&quot;_-;_-@_-"/>
    <numFmt numFmtId="167" formatCode="_-* #,##0.000_-;\-* #,##0.000_-;_-* &quot;-&quot;_-;_-@_-"/>
    <numFmt numFmtId="168" formatCode="0.0%"/>
    <numFmt numFmtId="169" formatCode="_-* #,##0_-;\-* #,##0_-;_-* &quot;-&quot;??_-;_-@_-"/>
    <numFmt numFmtId="170" formatCode="0.0"/>
    <numFmt numFmtId="171" formatCode="#,##0_ ;[Red]\-#,##0\ "/>
    <numFmt numFmtId="172" formatCode="_-* #,##0.00000_-;\-* #,##0.00000_-;_-* &quot;-&quot;_-;_-@_-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  <font>
      <b/>
      <sz val="20"/>
      <name val="Arial"/>
      <family val="2"/>
    </font>
    <font>
      <sz val="2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8"/>
      <color theme="0"/>
      <name val="Arial"/>
      <family val="2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3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2" xfId="0" applyFill="1" applyBorder="1"/>
    <xf numFmtId="49" fontId="2" fillId="3" borderId="0" xfId="0" applyNumberFormat="1" applyFont="1" applyFill="1"/>
    <xf numFmtId="49" fontId="2" fillId="3" borderId="3" xfId="0" applyNumberFormat="1" applyFont="1" applyFill="1" applyBorder="1"/>
    <xf numFmtId="49" fontId="0" fillId="3" borderId="0" xfId="0" applyNumberFormat="1" applyFill="1"/>
    <xf numFmtId="49" fontId="5" fillId="2" borderId="0" xfId="0" applyNumberFormat="1" applyFont="1" applyFill="1"/>
    <xf numFmtId="49" fontId="0" fillId="3" borderId="2" xfId="0" applyNumberFormat="1" applyFill="1" applyBorder="1"/>
    <xf numFmtId="49" fontId="4" fillId="3" borderId="0" xfId="0" applyNumberFormat="1" applyFont="1" applyFill="1"/>
    <xf numFmtId="49" fontId="5" fillId="3" borderId="0" xfId="0" applyNumberFormat="1" applyFont="1" applyFill="1"/>
    <xf numFmtId="49" fontId="3" fillId="3" borderId="0" xfId="0" applyNumberFormat="1" applyFont="1" applyFill="1"/>
    <xf numFmtId="41" fontId="0" fillId="3" borderId="4" xfId="1" applyFont="1" applyFill="1" applyBorder="1"/>
    <xf numFmtId="41" fontId="0" fillId="3" borderId="0" xfId="1" applyFont="1" applyFill="1"/>
    <xf numFmtId="41" fontId="4" fillId="3" borderId="4" xfId="1" applyFont="1" applyFill="1" applyBorder="1"/>
    <xf numFmtId="41" fontId="2" fillId="3" borderId="4" xfId="1" applyFont="1" applyFill="1" applyBorder="1"/>
    <xf numFmtId="41" fontId="0" fillId="3" borderId="0" xfId="0" applyNumberFormat="1" applyFill="1"/>
    <xf numFmtId="41" fontId="4" fillId="3" borderId="0" xfId="1" applyFont="1" applyFill="1"/>
    <xf numFmtId="41" fontId="2" fillId="3" borderId="4" xfId="0" applyNumberFormat="1" applyFont="1" applyFill="1" applyBorder="1"/>
    <xf numFmtId="0" fontId="4" fillId="3" borderId="0" xfId="0" applyFont="1" applyFill="1"/>
    <xf numFmtId="41" fontId="6" fillId="3" borderId="0" xfId="0" applyNumberFormat="1" applyFont="1" applyFill="1"/>
    <xf numFmtId="10" fontId="0" fillId="3" borderId="0" xfId="2" applyNumberFormat="1" applyFont="1" applyFill="1"/>
    <xf numFmtId="41" fontId="4" fillId="3" borderId="4" xfId="0" applyNumberFormat="1" applyFont="1" applyFill="1" applyBorder="1"/>
    <xf numFmtId="41" fontId="4" fillId="3" borderId="0" xfId="0" applyNumberFormat="1" applyFont="1" applyFill="1"/>
    <xf numFmtId="0" fontId="4" fillId="3" borderId="4" xfId="0" applyFont="1" applyFill="1" applyBorder="1"/>
    <xf numFmtId="49" fontId="0" fillId="3" borderId="0" xfId="0" applyNumberForma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0" fontId="0" fillId="3" borderId="5" xfId="0" applyFill="1" applyBorder="1"/>
    <xf numFmtId="0" fontId="0" fillId="3" borderId="6" xfId="0" applyFill="1" applyBorder="1"/>
    <xf numFmtId="41" fontId="0" fillId="3" borderId="6" xfId="1" applyFont="1" applyFill="1" applyBorder="1"/>
    <xf numFmtId="0" fontId="0" fillId="5" borderId="6" xfId="0" applyFill="1" applyBorder="1"/>
    <xf numFmtId="0" fontId="0" fillId="5" borderId="7" xfId="0" applyFill="1" applyBorder="1"/>
    <xf numFmtId="0" fontId="2" fillId="3" borderId="8" xfId="0" applyFont="1" applyFill="1" applyBorder="1"/>
    <xf numFmtId="0" fontId="0" fillId="5" borderId="0" xfId="0" applyFill="1"/>
    <xf numFmtId="0" fontId="0" fillId="5" borderId="9" xfId="0" applyFill="1" applyBorder="1"/>
    <xf numFmtId="0" fontId="0" fillId="3" borderId="8" xfId="0" applyFill="1" applyBorder="1"/>
    <xf numFmtId="41" fontId="0" fillId="3" borderId="9" xfId="1" applyFont="1" applyFill="1" applyBorder="1"/>
    <xf numFmtId="41" fontId="0" fillId="3" borderId="10" xfId="1" applyFont="1" applyFill="1" applyBorder="1"/>
    <xf numFmtId="0" fontId="4" fillId="5" borderId="11" xfId="0" applyFont="1" applyFill="1" applyBorder="1"/>
    <xf numFmtId="41" fontId="0" fillId="5" borderId="11" xfId="0" applyNumberFormat="1" applyFill="1" applyBorder="1"/>
    <xf numFmtId="0" fontId="2" fillId="5" borderId="0" xfId="0" applyFont="1" applyFill="1"/>
    <xf numFmtId="41" fontId="2" fillId="5" borderId="0" xfId="0" applyNumberFormat="1" applyFont="1" applyFill="1"/>
    <xf numFmtId="49" fontId="0" fillId="5" borderId="0" xfId="0" applyNumberFormat="1" applyFill="1"/>
    <xf numFmtId="49" fontId="3" fillId="5" borderId="0" xfId="0" applyNumberFormat="1" applyFont="1" applyFill="1"/>
    <xf numFmtId="0" fontId="16" fillId="5" borderId="0" xfId="0" applyFont="1" applyFill="1"/>
    <xf numFmtId="41" fontId="16" fillId="5" borderId="0" xfId="0" applyNumberFormat="1" applyFont="1" applyFill="1"/>
    <xf numFmtId="0" fontId="16" fillId="5" borderId="11" xfId="0" applyFont="1" applyFill="1" applyBorder="1"/>
    <xf numFmtId="41" fontId="16" fillId="5" borderId="11" xfId="0" applyNumberFormat="1" applyFont="1" applyFill="1" applyBorder="1"/>
    <xf numFmtId="0" fontId="10" fillId="5" borderId="0" xfId="0" applyFont="1" applyFill="1"/>
    <xf numFmtId="0" fontId="10" fillId="5" borderId="4" xfId="1" applyNumberFormat="1" applyFont="1" applyFill="1" applyBorder="1" applyAlignment="1">
      <alignment horizontal="center"/>
    </xf>
    <xf numFmtId="41" fontId="10" fillId="5" borderId="4" xfId="1" applyFont="1" applyFill="1" applyBorder="1"/>
    <xf numFmtId="0" fontId="11" fillId="5" borderId="0" xfId="0" applyFont="1" applyFill="1"/>
    <xf numFmtId="0" fontId="2" fillId="5" borderId="10" xfId="0" applyFont="1" applyFill="1" applyBorder="1"/>
    <xf numFmtId="0" fontId="10" fillId="5" borderId="0" xfId="0" applyFont="1" applyFill="1"/>
    <xf numFmtId="0" fontId="4" fillId="5" borderId="8" xfId="0" applyFont="1" applyFill="1" applyBorder="1"/>
    <xf numFmtId="1" fontId="10" fillId="5" borderId="0" xfId="0" applyNumberFormat="1" applyFont="1" applyFill="1"/>
    <xf numFmtId="0" fontId="2" fillId="5" borderId="8" xfId="0" applyFont="1" applyFill="1" applyBorder="1"/>
    <xf numFmtId="9" fontId="2" fillId="5" borderId="0" xfId="2" applyFont="1" applyFill="1"/>
    <xf numFmtId="9" fontId="11" fillId="5" borderId="0" xfId="2" applyFont="1" applyFill="1"/>
    <xf numFmtId="9" fontId="2" fillId="5" borderId="9" xfId="2" applyFont="1" applyFill="1" applyBorder="1"/>
    <xf numFmtId="0" fontId="2" fillId="5" borderId="0" xfId="0" applyFont="1" applyFill="1"/>
    <xf numFmtId="0" fontId="11" fillId="5" borderId="0" xfId="0" applyFont="1" applyFill="1"/>
    <xf numFmtId="0" fontId="2" fillId="5" borderId="9" xfId="0" applyFont="1" applyFill="1" applyBorder="1"/>
    <xf numFmtId="41" fontId="2" fillId="5" borderId="0" xfId="0" applyNumberFormat="1" applyFont="1" applyFill="1"/>
    <xf numFmtId="41" fontId="2" fillId="5" borderId="9" xfId="0" applyNumberFormat="1" applyFont="1" applyFill="1" applyBorder="1"/>
    <xf numFmtId="0" fontId="2" fillId="5" borderId="12" xfId="0" applyFont="1" applyFill="1" applyBorder="1"/>
    <xf numFmtId="10" fontId="2" fillId="5" borderId="11" xfId="2" applyNumberFormat="1" applyFont="1" applyFill="1" applyBorder="1"/>
    <xf numFmtId="10" fontId="11" fillId="5" borderId="11" xfId="2" applyNumberFormat="1" applyFont="1" applyFill="1" applyBorder="1"/>
    <xf numFmtId="10" fontId="2" fillId="5" borderId="13" xfId="2" applyNumberFormat="1" applyFont="1" applyFill="1" applyBorder="1"/>
    <xf numFmtId="41" fontId="10" fillId="5" borderId="0" xfId="1" applyFont="1" applyFill="1"/>
    <xf numFmtId="9" fontId="10" fillId="5" borderId="0" xfId="2" applyFont="1" applyFill="1"/>
    <xf numFmtId="49" fontId="4" fillId="5" borderId="0" xfId="0" applyNumberFormat="1" applyFont="1" applyFill="1"/>
    <xf numFmtId="0" fontId="5" fillId="6" borderId="8" xfId="0" applyFont="1" applyFill="1" applyBorder="1"/>
    <xf numFmtId="0" fontId="5" fillId="6" borderId="0" xfId="0" applyFont="1" applyFill="1"/>
    <xf numFmtId="0" fontId="3" fillId="6" borderId="0" xfId="0" applyFont="1" applyFill="1"/>
    <xf numFmtId="0" fontId="17" fillId="6" borderId="12" xfId="0" applyFont="1" applyFill="1" applyBorder="1"/>
    <xf numFmtId="0" fontId="18" fillId="6" borderId="11" xfId="0" applyFont="1" applyFill="1" applyBorder="1"/>
    <xf numFmtId="0" fontId="17" fillId="6" borderId="11" xfId="0" applyFont="1" applyFill="1" applyBorder="1"/>
    <xf numFmtId="0" fontId="18" fillId="6" borderId="0" xfId="0" applyFont="1" applyFill="1"/>
    <xf numFmtId="49" fontId="2" fillId="5" borderId="0" xfId="0" applyNumberFormat="1" applyFont="1" applyFill="1"/>
    <xf numFmtId="41" fontId="4" fillId="5" borderId="11" xfId="0" applyNumberFormat="1" applyFont="1" applyFill="1" applyBorder="1"/>
    <xf numFmtId="41" fontId="4" fillId="5" borderId="0" xfId="0" applyNumberFormat="1" applyFont="1" applyFill="1"/>
    <xf numFmtId="49" fontId="2" fillId="5" borderId="11" xfId="0" applyNumberFormat="1" applyFont="1" applyFill="1" applyBorder="1"/>
    <xf numFmtId="41" fontId="2" fillId="5" borderId="11" xfId="0" applyNumberFormat="1" applyFont="1" applyFill="1" applyBorder="1"/>
    <xf numFmtId="49" fontId="4" fillId="5" borderId="11" xfId="0" applyNumberFormat="1" applyFont="1" applyFill="1" applyBorder="1"/>
    <xf numFmtId="41" fontId="4" fillId="5" borderId="4" xfId="1" applyFont="1" applyFill="1" applyBorder="1"/>
    <xf numFmtId="41" fontId="4" fillId="5" borderId="0" xfId="1" applyFont="1" applyFill="1"/>
    <xf numFmtId="0" fontId="2" fillId="5" borderId="5" xfId="0" applyFont="1" applyFill="1" applyBorder="1"/>
    <xf numFmtId="0" fontId="4" fillId="5" borderId="4" xfId="1" applyNumberFormat="1" applyFont="1" applyFill="1" applyBorder="1"/>
    <xf numFmtId="41" fontId="4" fillId="5" borderId="0" xfId="1" applyFont="1" applyFill="1"/>
    <xf numFmtId="41" fontId="4" fillId="5" borderId="9" xfId="1" applyFont="1" applyFill="1" applyBorder="1"/>
    <xf numFmtId="0" fontId="4" fillId="5" borderId="0" xfId="0" applyFont="1" applyFill="1"/>
    <xf numFmtId="0" fontId="4" fillId="5" borderId="9" xfId="0" applyFont="1" applyFill="1" applyBorder="1"/>
    <xf numFmtId="41" fontId="4" fillId="5" borderId="0" xfId="0" applyNumberFormat="1" applyFont="1" applyFill="1"/>
    <xf numFmtId="41" fontId="4" fillId="5" borderId="9" xfId="0" applyNumberFormat="1" applyFont="1" applyFill="1" applyBorder="1"/>
    <xf numFmtId="2" fontId="2" fillId="5" borderId="0" xfId="0" applyNumberFormat="1" applyFont="1" applyFill="1"/>
    <xf numFmtId="2" fontId="11" fillId="5" borderId="0" xfId="0" applyNumberFormat="1" applyFont="1" applyFill="1"/>
    <xf numFmtId="2" fontId="2" fillId="5" borderId="9" xfId="0" applyNumberFormat="1" applyFont="1" applyFill="1" applyBorder="1"/>
    <xf numFmtId="1" fontId="2" fillId="5" borderId="0" xfId="0" applyNumberFormat="1" applyFont="1" applyFill="1"/>
    <xf numFmtId="1" fontId="11" fillId="5" borderId="0" xfId="0" applyNumberFormat="1" applyFont="1" applyFill="1"/>
    <xf numFmtId="1" fontId="2" fillId="5" borderId="9" xfId="0" applyNumberFormat="1" applyFont="1" applyFill="1" applyBorder="1"/>
    <xf numFmtId="170" fontId="2" fillId="5" borderId="0" xfId="0" applyNumberFormat="1" applyFont="1" applyFill="1"/>
    <xf numFmtId="170" fontId="11" fillId="5" borderId="0" xfId="0" applyNumberFormat="1" applyFont="1" applyFill="1"/>
    <xf numFmtId="170" fontId="2" fillId="5" borderId="9" xfId="0" applyNumberFormat="1" applyFont="1" applyFill="1" applyBorder="1"/>
    <xf numFmtId="10" fontId="2" fillId="5" borderId="0" xfId="2" applyNumberFormat="1" applyFont="1" applyFill="1"/>
    <xf numFmtId="10" fontId="2" fillId="5" borderId="9" xfId="2" applyNumberFormat="1" applyFont="1" applyFill="1" applyBorder="1"/>
    <xf numFmtId="0" fontId="11" fillId="5" borderId="11" xfId="0" applyFont="1" applyFill="1" applyBorder="1"/>
    <xf numFmtId="41" fontId="2" fillId="5" borderId="13" xfId="0" applyNumberFormat="1" applyFont="1" applyFill="1" applyBorder="1"/>
    <xf numFmtId="1" fontId="4" fillId="5" borderId="0" xfId="0" applyNumberFormat="1" applyFont="1" applyFill="1"/>
    <xf numFmtId="1" fontId="4" fillId="5" borderId="9" xfId="0" applyNumberFormat="1" applyFont="1" applyFill="1" applyBorder="1"/>
    <xf numFmtId="0" fontId="4" fillId="3" borderId="2" xfId="0" applyFont="1" applyFill="1" applyBorder="1"/>
    <xf numFmtId="41" fontId="10" fillId="5" borderId="14" xfId="1" applyFont="1" applyFill="1" applyBorder="1"/>
    <xf numFmtId="41" fontId="4" fillId="5" borderId="10" xfId="1" applyFont="1" applyFill="1" applyBorder="1"/>
    <xf numFmtId="1" fontId="4" fillId="5" borderId="15" xfId="0" applyNumberFormat="1" applyFont="1" applyFill="1" applyBorder="1"/>
    <xf numFmtId="1" fontId="10" fillId="5" borderId="15" xfId="0" applyNumberFormat="1" applyFont="1" applyFill="1" applyBorder="1"/>
    <xf numFmtId="10" fontId="2" fillId="3" borderId="4" xfId="0" applyNumberFormat="1" applyFont="1" applyFill="1" applyBorder="1"/>
    <xf numFmtId="10" fontId="2" fillId="3" borderId="0" xfId="0" applyNumberFormat="1" applyFont="1" applyFill="1"/>
    <xf numFmtId="10" fontId="9" fillId="3" borderId="4" xfId="0" applyNumberFormat="1" applyFont="1" applyFill="1" applyBorder="1"/>
    <xf numFmtId="0" fontId="9" fillId="3" borderId="4" xfId="1" applyNumberFormat="1" applyFont="1" applyFill="1" applyBorder="1"/>
    <xf numFmtId="10" fontId="7" fillId="3" borderId="0" xfId="1" applyNumberFormat="1" applyFont="1" applyFill="1"/>
    <xf numFmtId="10" fontId="9" fillId="3" borderId="4" xfId="1" applyNumberFormat="1" applyFont="1" applyFill="1" applyBorder="1"/>
    <xf numFmtId="0" fontId="2" fillId="3" borderId="4" xfId="1" applyNumberFormat="1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168" fontId="2" fillId="3" borderId="4" xfId="0" applyNumberFormat="1" applyFont="1" applyFill="1" applyBorder="1"/>
    <xf numFmtId="40" fontId="2" fillId="5" borderId="11" xfId="0" applyNumberFormat="1" applyFont="1" applyFill="1" applyBorder="1"/>
    <xf numFmtId="40" fontId="11" fillId="5" borderId="11" xfId="0" applyNumberFormat="1" applyFont="1" applyFill="1" applyBorder="1"/>
    <xf numFmtId="40" fontId="10" fillId="5" borderId="11" xfId="2" applyNumberFormat="1" applyFont="1" applyFill="1" applyBorder="1"/>
    <xf numFmtId="38" fontId="2" fillId="5" borderId="0" xfId="0" applyNumberFormat="1" applyFont="1" applyFill="1"/>
    <xf numFmtId="9" fontId="4" fillId="3" borderId="0" xfId="2" applyFont="1" applyFill="1"/>
    <xf numFmtId="0" fontId="2" fillId="5" borderId="4" xfId="1" applyNumberFormat="1" applyFont="1" applyFill="1" applyBorder="1"/>
    <xf numFmtId="0" fontId="11" fillId="5" borderId="4" xfId="1" applyNumberFormat="1" applyFont="1" applyFill="1" applyBorder="1" applyAlignment="1">
      <alignment horizontal="center"/>
    </xf>
    <xf numFmtId="0" fontId="2" fillId="5" borderId="10" xfId="1" applyNumberFormat="1" applyFont="1" applyFill="1" applyBorder="1"/>
    <xf numFmtId="0" fontId="11" fillId="5" borderId="14" xfId="1" applyNumberFormat="1" applyFont="1" applyFill="1" applyBorder="1" applyAlignment="1">
      <alignment horizontal="center"/>
    </xf>
    <xf numFmtId="1" fontId="4" fillId="5" borderId="14" xfId="0" applyNumberFormat="1" applyFont="1" applyFill="1" applyBorder="1"/>
    <xf numFmtId="0" fontId="4" fillId="4" borderId="1" xfId="0" applyFont="1" applyFill="1" applyBorder="1" applyProtection="1">
      <protection locked="0"/>
    </xf>
    <xf numFmtId="41" fontId="4" fillId="4" borderId="1" xfId="0" applyNumberFormat="1" applyFont="1" applyFill="1" applyBorder="1" applyProtection="1">
      <protection locked="0"/>
    </xf>
    <xf numFmtId="49" fontId="17" fillId="5" borderId="0" xfId="0" applyNumberFormat="1" applyFont="1" applyFill="1"/>
    <xf numFmtId="41" fontId="17" fillId="5" borderId="0" xfId="1" applyFont="1" applyFill="1"/>
    <xf numFmtId="165" fontId="4" fillId="3" borderId="0" xfId="0" applyNumberFormat="1" applyFont="1" applyFill="1"/>
    <xf numFmtId="49" fontId="3" fillId="2" borderId="0" xfId="0" applyNumberFormat="1" applyFont="1" applyFill="1"/>
    <xf numFmtId="41" fontId="18" fillId="5" borderId="0" xfId="1" applyFont="1" applyFill="1"/>
    <xf numFmtId="49" fontId="18" fillId="2" borderId="0" xfId="0" applyNumberFormat="1" applyFont="1" applyFill="1"/>
    <xf numFmtId="49" fontId="2" fillId="2" borderId="0" xfId="0" applyNumberFormat="1" applyFont="1" applyFill="1"/>
    <xf numFmtId="49" fontId="4" fillId="2" borderId="0" xfId="0" applyNumberFormat="1" applyFont="1" applyFill="1"/>
    <xf numFmtId="10" fontId="4" fillId="3" borderId="0" xfId="2" applyNumberFormat="1" applyFont="1" applyFill="1"/>
    <xf numFmtId="49" fontId="4" fillId="3" borderId="2" xfId="0" applyNumberFormat="1" applyFont="1" applyFill="1" applyBorder="1"/>
    <xf numFmtId="9" fontId="4" fillId="5" borderId="0" xfId="2" applyFont="1" applyFill="1"/>
    <xf numFmtId="41" fontId="4" fillId="3" borderId="0" xfId="2" applyNumberFormat="1" applyFont="1" applyFill="1"/>
    <xf numFmtId="49" fontId="4" fillId="7" borderId="0" xfId="0" applyNumberFormat="1" applyFont="1" applyFill="1"/>
    <xf numFmtId="0" fontId="4" fillId="7" borderId="0" xfId="0" applyFont="1" applyFill="1"/>
    <xf numFmtId="0" fontId="2" fillId="7" borderId="0" xfId="0" applyFont="1" applyFill="1"/>
    <xf numFmtId="41" fontId="4" fillId="7" borderId="0" xfId="0" applyNumberFormat="1" applyFont="1" applyFill="1"/>
    <xf numFmtId="0" fontId="0" fillId="7" borderId="0" xfId="0" applyFill="1"/>
    <xf numFmtId="41" fontId="4" fillId="7" borderId="4" xfId="1" applyFont="1" applyFill="1" applyBorder="1"/>
    <xf numFmtId="0" fontId="0" fillId="7" borderId="3" xfId="0" applyFill="1" applyBorder="1"/>
    <xf numFmtId="0" fontId="5" fillId="7" borderId="0" xfId="0" applyFont="1" applyFill="1"/>
    <xf numFmtId="0" fontId="3" fillId="7" borderId="0" xfId="0" applyFont="1" applyFill="1"/>
    <xf numFmtId="0" fontId="4" fillId="7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41" fontId="4" fillId="7" borderId="1" xfId="0" applyNumberFormat="1" applyFont="1" applyFill="1" applyBorder="1" applyProtection="1">
      <protection locked="0"/>
    </xf>
    <xf numFmtId="41" fontId="4" fillId="7" borderId="1" xfId="1" applyFont="1" applyFill="1" applyBorder="1" applyProtection="1">
      <protection locked="0"/>
    </xf>
    <xf numFmtId="41" fontId="2" fillId="7" borderId="1" xfId="1" applyFont="1" applyFill="1" applyBorder="1" applyProtection="1">
      <protection locked="0"/>
    </xf>
    <xf numFmtId="41" fontId="2" fillId="7" borderId="1" xfId="0" applyNumberFormat="1" applyFont="1" applyFill="1" applyBorder="1" applyProtection="1">
      <protection locked="0"/>
    </xf>
    <xf numFmtId="0" fontId="2" fillId="7" borderId="3" xfId="0" applyFont="1" applyFill="1" applyBorder="1"/>
    <xf numFmtId="0" fontId="6" fillId="7" borderId="4" xfId="1" applyNumberFormat="1" applyFont="1" applyFill="1" applyBorder="1"/>
    <xf numFmtId="0" fontId="12" fillId="7" borderId="4" xfId="1" applyNumberFormat="1" applyFont="1" applyFill="1" applyBorder="1"/>
    <xf numFmtId="41" fontId="12" fillId="7" borderId="0" xfId="1" applyFont="1" applyFill="1"/>
    <xf numFmtId="41" fontId="6" fillId="7" borderId="4" xfId="1" applyFont="1" applyFill="1" applyBorder="1"/>
    <xf numFmtId="41" fontId="8" fillId="7" borderId="4" xfId="1" applyFont="1" applyFill="1" applyBorder="1"/>
    <xf numFmtId="2" fontId="6" fillId="7" borderId="4" xfId="2" applyNumberFormat="1" applyFont="1" applyFill="1" applyBorder="1"/>
    <xf numFmtId="2" fontId="12" fillId="7" borderId="4" xfId="2" applyNumberFormat="1" applyFont="1" applyFill="1" applyBorder="1"/>
    <xf numFmtId="41" fontId="12" fillId="7" borderId="4" xfId="1" applyFont="1" applyFill="1" applyBorder="1"/>
    <xf numFmtId="2" fontId="12" fillId="7" borderId="0" xfId="1" applyNumberFormat="1" applyFont="1" applyFill="1"/>
    <xf numFmtId="2" fontId="6" fillId="7" borderId="4" xfId="1" applyNumberFormat="1" applyFont="1" applyFill="1" applyBorder="1"/>
    <xf numFmtId="2" fontId="12" fillId="7" borderId="4" xfId="1" applyNumberFormat="1" applyFont="1" applyFill="1" applyBorder="1"/>
    <xf numFmtId="166" fontId="6" fillId="7" borderId="4" xfId="1" applyNumberFormat="1" applyFont="1" applyFill="1" applyBorder="1"/>
    <xf numFmtId="166" fontId="12" fillId="7" borderId="4" xfId="1" applyNumberFormat="1" applyFont="1" applyFill="1" applyBorder="1"/>
    <xf numFmtId="9" fontId="6" fillId="7" borderId="4" xfId="2" applyFont="1" applyFill="1" applyBorder="1"/>
    <xf numFmtId="9" fontId="12" fillId="7" borderId="4" xfId="2" applyFont="1" applyFill="1" applyBorder="1"/>
    <xf numFmtId="41" fontId="2" fillId="7" borderId="0" xfId="1" applyFont="1" applyFill="1"/>
    <xf numFmtId="0" fontId="0" fillId="7" borderId="2" xfId="0" applyFill="1" applyBorder="1"/>
    <xf numFmtId="0" fontId="0" fillId="5" borderId="8" xfId="0" applyFill="1" applyBorder="1"/>
    <xf numFmtId="41" fontId="2" fillId="5" borderId="4" xfId="1" applyFont="1" applyFill="1" applyBorder="1"/>
    <xf numFmtId="0" fontId="4" fillId="5" borderId="2" xfId="0" applyFont="1" applyFill="1" applyBorder="1"/>
    <xf numFmtId="41" fontId="0" fillId="5" borderId="4" xfId="0" applyNumberFormat="1" applyFill="1" applyBorder="1"/>
    <xf numFmtId="167" fontId="2" fillId="5" borderId="0" xfId="0" applyNumberFormat="1" applyFont="1" applyFill="1"/>
    <xf numFmtId="41" fontId="12" fillId="5" borderId="4" xfId="1" applyFont="1" applyFill="1" applyBorder="1"/>
    <xf numFmtId="41" fontId="12" fillId="5" borderId="0" xfId="1" applyFont="1" applyFill="1"/>
    <xf numFmtId="49" fontId="5" fillId="5" borderId="0" xfId="0" applyNumberFormat="1" applyFont="1" applyFill="1"/>
    <xf numFmtId="43" fontId="4" fillId="5" borderId="0" xfId="0" applyNumberFormat="1" applyFont="1" applyFill="1"/>
    <xf numFmtId="49" fontId="0" fillId="5" borderId="2" xfId="0" applyNumberFormat="1" applyFill="1" applyBorder="1"/>
    <xf numFmtId="49" fontId="2" fillId="7" borderId="3" xfId="0" applyNumberFormat="1" applyFont="1" applyFill="1" applyBorder="1"/>
    <xf numFmtId="49" fontId="4" fillId="7" borderId="3" xfId="0" applyNumberFormat="1" applyFont="1" applyFill="1" applyBorder="1"/>
    <xf numFmtId="49" fontId="2" fillId="7" borderId="0" xfId="0" applyNumberFormat="1" applyFont="1" applyFill="1"/>
    <xf numFmtId="0" fontId="4" fillId="7" borderId="3" xfId="0" applyFont="1" applyFill="1" applyBorder="1"/>
    <xf numFmtId="41" fontId="4" fillId="7" borderId="3" xfId="0" applyNumberFormat="1" applyFont="1" applyFill="1" applyBorder="1"/>
    <xf numFmtId="0" fontId="4" fillId="7" borderId="4" xfId="0" applyFont="1" applyFill="1" applyBorder="1"/>
    <xf numFmtId="41" fontId="4" fillId="7" borderId="0" xfId="1" applyFont="1" applyFill="1"/>
    <xf numFmtId="41" fontId="4" fillId="7" borderId="4" xfId="0" applyNumberFormat="1" applyFont="1" applyFill="1" applyBorder="1"/>
    <xf numFmtId="41" fontId="2" fillId="7" borderId="4" xfId="1" applyFont="1" applyFill="1" applyBorder="1"/>
    <xf numFmtId="41" fontId="2" fillId="7" borderId="0" xfId="0" applyNumberFormat="1" applyFont="1" applyFill="1"/>
    <xf numFmtId="41" fontId="2" fillId="7" borderId="4" xfId="0" applyNumberFormat="1" applyFont="1" applyFill="1" applyBorder="1"/>
    <xf numFmtId="0" fontId="4" fillId="7" borderId="2" xfId="0" applyFont="1" applyFill="1" applyBorder="1"/>
    <xf numFmtId="49" fontId="4" fillId="7" borderId="2" xfId="0" applyNumberFormat="1" applyFont="1" applyFill="1" applyBorder="1"/>
    <xf numFmtId="49" fontId="0" fillId="7" borderId="0" xfId="0" applyNumberFormat="1" applyFill="1"/>
    <xf numFmtId="41" fontId="0" fillId="7" borderId="0" xfId="0" applyNumberFormat="1" applyFill="1"/>
    <xf numFmtId="0" fontId="0" fillId="5" borderId="0" xfId="0" applyFill="1" applyAlignment="1">
      <alignment wrapText="1"/>
    </xf>
    <xf numFmtId="41" fontId="4" fillId="5" borderId="0" xfId="1" applyFont="1" applyFill="1" applyBorder="1"/>
    <xf numFmtId="41" fontId="0" fillId="3" borderId="0" xfId="1" applyFont="1" applyFill="1" applyBorder="1"/>
    <xf numFmtId="0" fontId="14" fillId="5" borderId="0" xfId="0" applyFont="1" applyFill="1"/>
    <xf numFmtId="0" fontId="13" fillId="8" borderId="3" xfId="0" applyFont="1" applyFill="1" applyBorder="1"/>
    <xf numFmtId="0" fontId="14" fillId="8" borderId="3" xfId="0" applyFont="1" applyFill="1" applyBorder="1"/>
    <xf numFmtId="0" fontId="14" fillId="8" borderId="0" xfId="0" applyFont="1" applyFill="1"/>
    <xf numFmtId="0" fontId="4" fillId="8" borderId="0" xfId="0" applyFont="1" applyFill="1"/>
    <xf numFmtId="41" fontId="2" fillId="8" borderId="4" xfId="1" applyFont="1" applyFill="1" applyBorder="1"/>
    <xf numFmtId="0" fontId="19" fillId="5" borderId="0" xfId="0" applyFont="1" applyFill="1"/>
    <xf numFmtId="41" fontId="16" fillId="5" borderId="4" xfId="1" applyFont="1" applyFill="1" applyBorder="1"/>
    <xf numFmtId="49" fontId="17" fillId="5" borderId="2" xfId="0" applyNumberFormat="1" applyFont="1" applyFill="1" applyBorder="1"/>
    <xf numFmtId="41" fontId="2" fillId="8" borderId="10" xfId="1" applyFont="1" applyFill="1" applyBorder="1"/>
    <xf numFmtId="0" fontId="0" fillId="5" borderId="0" xfId="0" applyFill="1" applyBorder="1"/>
    <xf numFmtId="0" fontId="0" fillId="5" borderId="2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10" fillId="5" borderId="2" xfId="0" applyFont="1" applyFill="1" applyBorder="1"/>
    <xf numFmtId="0" fontId="2" fillId="8" borderId="10" xfId="0" applyFont="1" applyFill="1" applyBorder="1"/>
    <xf numFmtId="0" fontId="0" fillId="8" borderId="15" xfId="0" applyFill="1" applyBorder="1"/>
    <xf numFmtId="0" fontId="0" fillId="8" borderId="14" xfId="0" applyFill="1" applyBorder="1"/>
    <xf numFmtId="0" fontId="2" fillId="3" borderId="0" xfId="0" applyFont="1" applyFill="1" applyBorder="1"/>
    <xf numFmtId="10" fontId="2" fillId="3" borderId="0" xfId="0" applyNumberFormat="1" applyFont="1" applyFill="1" applyBorder="1"/>
    <xf numFmtId="10" fontId="2" fillId="3" borderId="9" xfId="0" applyNumberFormat="1" applyFont="1" applyFill="1" applyBorder="1"/>
    <xf numFmtId="0" fontId="9" fillId="3" borderId="8" xfId="0" applyFont="1" applyFill="1" applyBorder="1"/>
    <xf numFmtId="0" fontId="8" fillId="3" borderId="0" xfId="0" applyFont="1" applyFill="1" applyBorder="1"/>
    <xf numFmtId="49" fontId="2" fillId="3" borderId="8" xfId="0" applyNumberFormat="1" applyFont="1" applyFill="1" applyBorder="1"/>
    <xf numFmtId="49" fontId="2" fillId="3" borderId="0" xfId="0" applyNumberFormat="1" applyFont="1" applyFill="1" applyBorder="1"/>
    <xf numFmtId="49" fontId="0" fillId="3" borderId="0" xfId="0" applyNumberFormat="1" applyFill="1" applyBorder="1"/>
    <xf numFmtId="10" fontId="7" fillId="3" borderId="0" xfId="1" applyNumberFormat="1" applyFont="1" applyFill="1" applyBorder="1"/>
    <xf numFmtId="10" fontId="7" fillId="3" borderId="9" xfId="1" applyNumberFormat="1" applyFont="1" applyFill="1" applyBorder="1"/>
    <xf numFmtId="49" fontId="2" fillId="3" borderId="12" xfId="0" applyNumberFormat="1" applyFont="1" applyFill="1" applyBorder="1"/>
    <xf numFmtId="49" fontId="0" fillId="3" borderId="11" xfId="0" applyNumberFormat="1" applyFill="1" applyBorder="1"/>
    <xf numFmtId="0" fontId="2" fillId="5" borderId="0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2" fillId="3" borderId="11" xfId="0" applyFont="1" applyFill="1" applyBorder="1"/>
    <xf numFmtId="0" fontId="2" fillId="3" borderId="13" xfId="0" applyFont="1" applyFill="1" applyBorder="1"/>
    <xf numFmtId="10" fontId="2" fillId="3" borderId="0" xfId="1" applyNumberFormat="1" applyFont="1" applyFill="1" applyBorder="1"/>
    <xf numFmtId="10" fontId="2" fillId="3" borderId="9" xfId="1" applyNumberFormat="1" applyFont="1" applyFill="1" applyBorder="1"/>
    <xf numFmtId="41" fontId="2" fillId="3" borderId="0" xfId="1" applyFont="1" applyFill="1" applyBorder="1"/>
    <xf numFmtId="41" fontId="2" fillId="3" borderId="9" xfId="1" applyFont="1" applyFill="1" applyBorder="1"/>
    <xf numFmtId="41" fontId="0" fillId="3" borderId="0" xfId="0" applyNumberFormat="1" applyFill="1" applyBorder="1"/>
    <xf numFmtId="0" fontId="20" fillId="3" borderId="0" xfId="0" applyFont="1" applyFill="1" applyBorder="1"/>
    <xf numFmtId="0" fontId="2" fillId="8" borderId="19" xfId="0" applyFont="1" applyFill="1" applyBorder="1"/>
    <xf numFmtId="0" fontId="0" fillId="8" borderId="20" xfId="0" applyFill="1" applyBorder="1"/>
    <xf numFmtId="0" fontId="19" fillId="3" borderId="8" xfId="0" applyFont="1" applyFill="1" applyBorder="1"/>
    <xf numFmtId="0" fontId="16" fillId="3" borderId="0" xfId="0" applyFont="1" applyFill="1" applyBorder="1"/>
    <xf numFmtId="0" fontId="16" fillId="3" borderId="8" xfId="0" applyFont="1" applyFill="1" applyBorder="1"/>
    <xf numFmtId="0" fontId="19" fillId="3" borderId="0" xfId="0" applyFont="1" applyFill="1" applyBorder="1"/>
    <xf numFmtId="0" fontId="4" fillId="9" borderId="0" xfId="0" applyFont="1" applyFill="1"/>
    <xf numFmtId="41" fontId="16" fillId="9" borderId="0" xfId="1" applyFont="1" applyFill="1"/>
    <xf numFmtId="41" fontId="16" fillId="9" borderId="4" xfId="1" applyFont="1" applyFill="1" applyBorder="1"/>
    <xf numFmtId="41" fontId="19" fillId="9" borderId="4" xfId="1" applyFont="1" applyFill="1" applyBorder="1"/>
    <xf numFmtId="41" fontId="16" fillId="5" borderId="0" xfId="1" applyFont="1" applyFill="1"/>
    <xf numFmtId="0" fontId="16" fillId="8" borderId="0" xfId="0" applyFont="1" applyFill="1"/>
    <xf numFmtId="0" fontId="16" fillId="3" borderId="0" xfId="0" applyFont="1" applyFill="1"/>
    <xf numFmtId="0" fontId="21" fillId="8" borderId="3" xfId="0" applyFont="1" applyFill="1" applyBorder="1"/>
    <xf numFmtId="0" fontId="22" fillId="8" borderId="3" xfId="0" applyFont="1" applyFill="1" applyBorder="1"/>
    <xf numFmtId="41" fontId="19" fillId="5" borderId="4" xfId="1" applyFont="1" applyFill="1" applyBorder="1"/>
    <xf numFmtId="0" fontId="16" fillId="5" borderId="2" xfId="0" applyFont="1" applyFill="1" applyBorder="1"/>
    <xf numFmtId="0" fontId="2" fillId="5" borderId="4" xfId="0" applyFont="1" applyFill="1" applyBorder="1"/>
    <xf numFmtId="0" fontId="4" fillId="5" borderId="8" xfId="0" applyFont="1" applyFill="1" applyBorder="1" applyAlignment="1">
      <alignment horizontal="left"/>
    </xf>
    <xf numFmtId="0" fontId="2" fillId="0" borderId="4" xfId="1" applyNumberFormat="1" applyFont="1" applyBorder="1"/>
    <xf numFmtId="41" fontId="4" fillId="3" borderId="0" xfId="0" applyNumberFormat="1" applyFont="1" applyFill="1" applyBorder="1"/>
    <xf numFmtId="49" fontId="18" fillId="5" borderId="0" xfId="0" applyNumberFormat="1" applyFont="1" applyFill="1"/>
    <xf numFmtId="49" fontId="5" fillId="6" borderId="0" xfId="0" applyNumberFormat="1" applyFont="1" applyFill="1"/>
    <xf numFmtId="49" fontId="16" fillId="5" borderId="0" xfId="0" applyNumberFormat="1" applyFont="1" applyFill="1"/>
    <xf numFmtId="41" fontId="16" fillId="9" borderId="4" xfId="0" applyNumberFormat="1" applyFont="1" applyFill="1" applyBorder="1"/>
    <xf numFmtId="49" fontId="16" fillId="9" borderId="0" xfId="0" applyNumberFormat="1" applyFont="1" applyFill="1"/>
    <xf numFmtId="169" fontId="16" fillId="9" borderId="4" xfId="1" applyNumberFormat="1" applyFont="1" applyFill="1" applyBorder="1"/>
    <xf numFmtId="0" fontId="19" fillId="9" borderId="4" xfId="0" applyFont="1" applyFill="1" applyBorder="1"/>
    <xf numFmtId="0" fontId="19" fillId="9" borderId="4" xfId="1" applyNumberFormat="1" applyFont="1" applyFill="1" applyBorder="1"/>
    <xf numFmtId="0" fontId="19" fillId="5" borderId="4" xfId="1" applyNumberFormat="1" applyFont="1" applyFill="1" applyBorder="1"/>
    <xf numFmtId="0" fontId="2" fillId="5" borderId="0" xfId="1" applyNumberFormat="1" applyFont="1" applyFill="1" applyBorder="1"/>
    <xf numFmtId="41" fontId="2" fillId="5" borderId="0" xfId="1" applyFont="1" applyFill="1" applyBorder="1"/>
    <xf numFmtId="41" fontId="12" fillId="5" borderId="0" xfId="1" applyFont="1" applyFill="1" applyBorder="1"/>
    <xf numFmtId="0" fontId="0" fillId="5" borderId="5" xfId="0" applyFill="1" applyBorder="1"/>
    <xf numFmtId="0" fontId="18" fillId="6" borderId="8" xfId="0" applyFont="1" applyFill="1" applyBorder="1"/>
    <xf numFmtId="0" fontId="18" fillId="6" borderId="0" xfId="0" applyFont="1" applyFill="1" applyBorder="1"/>
    <xf numFmtId="0" fontId="17" fillId="5" borderId="0" xfId="0" applyFont="1" applyFill="1" applyBorder="1"/>
    <xf numFmtId="0" fontId="18" fillId="5" borderId="0" xfId="0" applyFont="1" applyFill="1" applyBorder="1"/>
    <xf numFmtId="41" fontId="18" fillId="5" borderId="0" xfId="0" applyNumberFormat="1" applyFont="1" applyFill="1" applyBorder="1"/>
    <xf numFmtId="0" fontId="23" fillId="5" borderId="0" xfId="0" applyFont="1" applyFill="1" applyBorder="1"/>
    <xf numFmtId="41" fontId="23" fillId="5" borderId="0" xfId="0" applyNumberFormat="1" applyFont="1" applyFill="1" applyBorder="1"/>
    <xf numFmtId="0" fontId="13" fillId="5" borderId="0" xfId="0" applyFont="1" applyFill="1" applyBorder="1"/>
    <xf numFmtId="0" fontId="14" fillId="5" borderId="0" xfId="0" applyFont="1" applyFill="1" applyBorder="1"/>
    <xf numFmtId="0" fontId="2" fillId="9" borderId="10" xfId="1" applyNumberFormat="1" applyFont="1" applyFill="1" applyBorder="1"/>
    <xf numFmtId="0" fontId="11" fillId="9" borderId="4" xfId="1" applyNumberFormat="1" applyFont="1" applyFill="1" applyBorder="1" applyAlignment="1">
      <alignment horizontal="center"/>
    </xf>
    <xf numFmtId="0" fontId="2" fillId="9" borderId="4" xfId="1" applyNumberFormat="1" applyFont="1" applyFill="1" applyBorder="1"/>
    <xf numFmtId="41" fontId="4" fillId="9" borderId="0" xfId="1" applyFont="1" applyFill="1"/>
    <xf numFmtId="41" fontId="10" fillId="9" borderId="0" xfId="1" applyFont="1" applyFill="1"/>
    <xf numFmtId="41" fontId="4" fillId="9" borderId="9" xfId="1" applyFont="1" applyFill="1" applyBorder="1"/>
    <xf numFmtId="41" fontId="4" fillId="9" borderId="10" xfId="1" applyFont="1" applyFill="1" applyBorder="1"/>
    <xf numFmtId="41" fontId="10" fillId="9" borderId="4" xfId="1" applyFont="1" applyFill="1" applyBorder="1"/>
    <xf numFmtId="41" fontId="4" fillId="9" borderId="4" xfId="1" applyFont="1" applyFill="1" applyBorder="1"/>
    <xf numFmtId="0" fontId="10" fillId="9" borderId="0" xfId="0" applyFont="1" applyFill="1"/>
    <xf numFmtId="0" fontId="4" fillId="9" borderId="9" xfId="0" applyFont="1" applyFill="1" applyBorder="1"/>
    <xf numFmtId="41" fontId="4" fillId="9" borderId="0" xfId="0" applyNumberFormat="1" applyFont="1" applyFill="1"/>
    <xf numFmtId="9" fontId="10" fillId="9" borderId="0" xfId="2" applyFont="1" applyFill="1"/>
    <xf numFmtId="41" fontId="4" fillId="9" borderId="9" xfId="0" applyNumberFormat="1" applyFont="1" applyFill="1" applyBorder="1"/>
    <xf numFmtId="2" fontId="2" fillId="9" borderId="0" xfId="0" applyNumberFormat="1" applyFont="1" applyFill="1"/>
    <xf numFmtId="2" fontId="2" fillId="9" borderId="9" xfId="0" applyNumberFormat="1" applyFont="1" applyFill="1" applyBorder="1"/>
    <xf numFmtId="1" fontId="2" fillId="9" borderId="0" xfId="0" applyNumberFormat="1" applyFont="1" applyFill="1"/>
    <xf numFmtId="1" fontId="2" fillId="9" borderId="9" xfId="0" applyNumberFormat="1" applyFont="1" applyFill="1" applyBorder="1"/>
    <xf numFmtId="9" fontId="2" fillId="9" borderId="0" xfId="2" applyFont="1" applyFill="1"/>
    <xf numFmtId="9" fontId="2" fillId="9" borderId="9" xfId="2" applyFont="1" applyFill="1" applyBorder="1"/>
    <xf numFmtId="170" fontId="2" fillId="9" borderId="0" xfId="0" applyNumberFormat="1" applyFont="1" applyFill="1"/>
    <xf numFmtId="170" fontId="2" fillId="9" borderId="9" xfId="0" applyNumberFormat="1" applyFont="1" applyFill="1" applyBorder="1"/>
    <xf numFmtId="0" fontId="2" fillId="9" borderId="0" xfId="0" applyFont="1" applyFill="1"/>
    <xf numFmtId="0" fontId="2" fillId="9" borderId="9" xfId="0" applyFont="1" applyFill="1" applyBorder="1"/>
    <xf numFmtId="10" fontId="2" fillId="9" borderId="0" xfId="2" applyNumberFormat="1" applyFont="1" applyFill="1"/>
    <xf numFmtId="10" fontId="2" fillId="9" borderId="9" xfId="2" applyNumberFormat="1" applyFont="1" applyFill="1" applyBorder="1"/>
    <xf numFmtId="40" fontId="2" fillId="9" borderId="11" xfId="0" applyNumberFormat="1" applyFont="1" applyFill="1" applyBorder="1"/>
    <xf numFmtId="40" fontId="10" fillId="9" borderId="11" xfId="2" applyNumberFormat="1" applyFont="1" applyFill="1" applyBorder="1"/>
    <xf numFmtId="40" fontId="2" fillId="9" borderId="13" xfId="0" applyNumberFormat="1" applyFont="1" applyFill="1" applyBorder="1"/>
    <xf numFmtId="41" fontId="2" fillId="9" borderId="0" xfId="0" applyNumberFormat="1" applyFont="1" applyFill="1"/>
    <xf numFmtId="0" fontId="11" fillId="9" borderId="0" xfId="0" applyFont="1" applyFill="1"/>
    <xf numFmtId="1" fontId="4" fillId="9" borderId="15" xfId="0" applyNumberFormat="1" applyFont="1" applyFill="1" applyBorder="1"/>
    <xf numFmtId="1" fontId="10" fillId="9" borderId="15" xfId="0" applyNumberFormat="1" applyFont="1" applyFill="1" applyBorder="1"/>
    <xf numFmtId="1" fontId="4" fillId="9" borderId="14" xfId="0" applyNumberFormat="1" applyFont="1" applyFill="1" applyBorder="1"/>
    <xf numFmtId="1" fontId="4" fillId="9" borderId="0" xfId="0" applyNumberFormat="1" applyFont="1" applyFill="1"/>
    <xf numFmtId="1" fontId="10" fillId="9" borderId="0" xfId="0" applyNumberFormat="1" applyFont="1" applyFill="1"/>
    <xf numFmtId="1" fontId="4" fillId="9" borderId="9" xfId="0" applyNumberFormat="1" applyFont="1" applyFill="1" applyBorder="1"/>
    <xf numFmtId="41" fontId="2" fillId="9" borderId="9" xfId="0" applyNumberFormat="1" applyFont="1" applyFill="1" applyBorder="1"/>
    <xf numFmtId="10" fontId="2" fillId="9" borderId="11" xfId="2" applyNumberFormat="1" applyFont="1" applyFill="1" applyBorder="1"/>
    <xf numFmtId="10" fontId="2" fillId="9" borderId="13" xfId="2" applyNumberFormat="1" applyFont="1" applyFill="1" applyBorder="1"/>
    <xf numFmtId="49" fontId="0" fillId="3" borderId="8" xfId="0" applyNumberFormat="1" applyFill="1" applyBorder="1"/>
    <xf numFmtId="49" fontId="0" fillId="3" borderId="12" xfId="0" applyNumberFormat="1" applyFill="1" applyBorder="1"/>
    <xf numFmtId="0" fontId="0" fillId="3" borderId="13" xfId="0" applyFill="1" applyBorder="1"/>
    <xf numFmtId="41" fontId="2" fillId="9" borderId="4" xfId="1" applyFont="1" applyFill="1" applyBorder="1"/>
    <xf numFmtId="41" fontId="2" fillId="9" borderId="4" xfId="0" applyNumberFormat="1" applyFont="1" applyFill="1" applyBorder="1"/>
    <xf numFmtId="49" fontId="2" fillId="9" borderId="21" xfId="0" applyNumberFormat="1" applyFont="1" applyFill="1" applyBorder="1"/>
    <xf numFmtId="49" fontId="2" fillId="9" borderId="22" xfId="0" applyNumberFormat="1" applyFont="1" applyFill="1" applyBorder="1"/>
    <xf numFmtId="0" fontId="2" fillId="9" borderId="22" xfId="0" applyFont="1" applyFill="1" applyBorder="1"/>
    <xf numFmtId="0" fontId="2" fillId="9" borderId="23" xfId="0" applyFont="1" applyFill="1" applyBorder="1"/>
    <xf numFmtId="171" fontId="0" fillId="3" borderId="0" xfId="0" applyNumberFormat="1" applyFill="1" applyBorder="1"/>
    <xf numFmtId="171" fontId="0" fillId="3" borderId="9" xfId="0" applyNumberFormat="1" applyFill="1" applyBorder="1"/>
    <xf numFmtId="0" fontId="4" fillId="9" borderId="4" xfId="1" applyNumberFormat="1" applyFont="1" applyFill="1" applyBorder="1"/>
    <xf numFmtId="41" fontId="4" fillId="8" borderId="4" xfId="1" applyFont="1" applyFill="1" applyBorder="1"/>
    <xf numFmtId="166" fontId="19" fillId="9" borderId="4" xfId="1" applyNumberFormat="1" applyFont="1" applyFill="1" applyBorder="1"/>
    <xf numFmtId="167" fontId="19" fillId="9" borderId="4" xfId="1" applyNumberFormat="1" applyFont="1" applyFill="1" applyBorder="1"/>
    <xf numFmtId="0" fontId="2" fillId="7" borderId="1" xfId="1" applyNumberFormat="1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166" fontId="4" fillId="7" borderId="1" xfId="1" applyNumberFormat="1" applyFont="1" applyFill="1" applyBorder="1" applyProtection="1">
      <protection locked="0"/>
    </xf>
    <xf numFmtId="41" fontId="19" fillId="9" borderId="4" xfId="1" applyNumberFormat="1" applyFont="1" applyFill="1" applyBorder="1"/>
    <xf numFmtId="41" fontId="2" fillId="5" borderId="4" xfId="1" applyNumberFormat="1" applyFont="1" applyFill="1" applyBorder="1"/>
    <xf numFmtId="166" fontId="16" fillId="9" borderId="4" xfId="1" applyNumberFormat="1" applyFont="1" applyFill="1" applyBorder="1"/>
    <xf numFmtId="166" fontId="16" fillId="9" borderId="0" xfId="1" applyNumberFormat="1" applyFont="1" applyFill="1"/>
    <xf numFmtId="167" fontId="16" fillId="9" borderId="0" xfId="1" applyNumberFormat="1" applyFont="1" applyFill="1"/>
    <xf numFmtId="167" fontId="16" fillId="9" borderId="4" xfId="1" applyNumberFormat="1" applyFont="1" applyFill="1" applyBorder="1"/>
    <xf numFmtId="166" fontId="2" fillId="9" borderId="4" xfId="1" applyNumberFormat="1" applyFont="1" applyFill="1" applyBorder="1"/>
    <xf numFmtId="166" fontId="2" fillId="7" borderId="1" xfId="1" applyNumberFormat="1" applyFont="1" applyFill="1" applyBorder="1" applyProtection="1">
      <protection locked="0"/>
    </xf>
    <xf numFmtId="166" fontId="20" fillId="7" borderId="1" xfId="1" applyNumberFormat="1" applyFont="1" applyFill="1" applyBorder="1" applyProtection="1">
      <protection locked="0"/>
    </xf>
    <xf numFmtId="165" fontId="4" fillId="7" borderId="1" xfId="0" applyNumberFormat="1" applyFont="1" applyFill="1" applyBorder="1" applyProtection="1">
      <protection locked="0"/>
    </xf>
    <xf numFmtId="172" fontId="20" fillId="7" borderId="1" xfId="1" applyNumberFormat="1" applyFont="1" applyFill="1" applyBorder="1" applyProtection="1">
      <protection locked="0"/>
    </xf>
    <xf numFmtId="172" fontId="4" fillId="7" borderId="1" xfId="1" applyNumberFormat="1" applyFont="1" applyFill="1" applyBorder="1" applyProtection="1">
      <protection locked="0"/>
    </xf>
    <xf numFmtId="41" fontId="16" fillId="9" borderId="0" xfId="1" applyNumberFormat="1" applyFont="1" applyFill="1"/>
    <xf numFmtId="41" fontId="16" fillId="9" borderId="4" xfId="1" applyNumberFormat="1" applyFont="1" applyFill="1" applyBorder="1"/>
    <xf numFmtId="41" fontId="4" fillId="9" borderId="4" xfId="1" applyNumberFormat="1" applyFont="1" applyFill="1" applyBorder="1"/>
    <xf numFmtId="41" fontId="4" fillId="9" borderId="0" xfId="1" applyNumberFormat="1" applyFont="1" applyFill="1"/>
    <xf numFmtId="10" fontId="11" fillId="5" borderId="0" xfId="2" applyNumberFormat="1" applyFont="1" applyFill="1"/>
    <xf numFmtId="166" fontId="2" fillId="8" borderId="4" xfId="1" applyNumberFormat="1" applyFont="1" applyFill="1" applyBorder="1"/>
    <xf numFmtId="1" fontId="0" fillId="3" borderId="0" xfId="3" applyNumberFormat="1" applyFont="1" applyFill="1" applyBorder="1"/>
    <xf numFmtId="1" fontId="0" fillId="3" borderId="9" xfId="3" applyNumberFormat="1" applyFont="1" applyFill="1" applyBorder="1"/>
    <xf numFmtId="0" fontId="5" fillId="5" borderId="8" xfId="0" applyFont="1" applyFill="1" applyBorder="1"/>
    <xf numFmtId="0" fontId="5" fillId="5" borderId="0" xfId="0" applyFont="1" applyFill="1"/>
    <xf numFmtId="0" fontId="3" fillId="5" borderId="0" xfId="0" applyFont="1" applyFill="1"/>
    <xf numFmtId="0" fontId="24" fillId="5" borderId="0" xfId="0" applyFont="1" applyFill="1"/>
    <xf numFmtId="0" fontId="15" fillId="5" borderId="0" xfId="0" applyFont="1" applyFill="1"/>
    <xf numFmtId="166" fontId="0" fillId="8" borderId="18" xfId="0" applyNumberFormat="1" applyFill="1" applyBorder="1"/>
    <xf numFmtId="41" fontId="0" fillId="5" borderId="0" xfId="0" applyNumberFormat="1" applyFill="1" applyBorder="1"/>
    <xf numFmtId="167" fontId="2" fillId="9" borderId="4" xfId="1" applyNumberFormat="1" applyFont="1" applyFill="1" applyBorder="1"/>
    <xf numFmtId="1" fontId="4" fillId="3" borderId="4" xfId="0" applyNumberFormat="1" applyFont="1" applyFill="1" applyBorder="1"/>
    <xf numFmtId="1" fontId="4" fillId="3" borderId="10" xfId="0" applyNumberFormat="1" applyFont="1" applyFill="1" applyBorder="1"/>
    <xf numFmtId="0" fontId="2" fillId="3" borderId="3" xfId="0" applyFont="1" applyFill="1" applyBorder="1"/>
    <xf numFmtId="41" fontId="2" fillId="3" borderId="3" xfId="0" applyNumberFormat="1" applyFont="1" applyFill="1" applyBorder="1"/>
    <xf numFmtId="0" fontId="0" fillId="5" borderId="24" xfId="0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6" xfId="0" applyFill="1" applyBorder="1" applyAlignment="1">
      <alignment vertical="top" wrapText="1"/>
    </xf>
    <xf numFmtId="0" fontId="0" fillId="5" borderId="27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28" xfId="0" applyFill="1" applyBorder="1" applyAlignment="1">
      <alignment vertical="top" wrapText="1"/>
    </xf>
    <xf numFmtId="0" fontId="0" fillId="5" borderId="29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5" borderId="30" xfId="0" applyFill="1" applyBorder="1" applyAlignment="1">
      <alignment vertical="top" wrapText="1"/>
    </xf>
    <xf numFmtId="0" fontId="18" fillId="6" borderId="12" xfId="0" applyFont="1" applyFill="1" applyBorder="1" applyAlignment="1">
      <alignment horizontal="left"/>
    </xf>
    <xf numFmtId="0" fontId="18" fillId="6" borderId="11" xfId="0" applyFont="1" applyFill="1" applyBorder="1" applyAlignment="1">
      <alignment horizontal="left"/>
    </xf>
    <xf numFmtId="0" fontId="18" fillId="6" borderId="13" xfId="0" applyFont="1" applyFill="1" applyBorder="1" applyAlignment="1">
      <alignment horizontal="left"/>
    </xf>
    <xf numFmtId="166" fontId="18" fillId="6" borderId="12" xfId="0" applyNumberFormat="1" applyFont="1" applyFill="1" applyBorder="1" applyAlignment="1">
      <alignment horizontal="left"/>
    </xf>
    <xf numFmtId="166" fontId="18" fillId="6" borderId="11" xfId="0" applyNumberFormat="1" applyFont="1" applyFill="1" applyBorder="1" applyAlignment="1">
      <alignment horizontal="left"/>
    </xf>
    <xf numFmtId="166" fontId="18" fillId="6" borderId="13" xfId="0" applyNumberFormat="1" applyFont="1" applyFill="1" applyBorder="1" applyAlignment="1">
      <alignment horizontal="left"/>
    </xf>
  </cellXfs>
  <cellStyles count="4">
    <cellStyle name="Migliaia [0]" xfId="1" builtinId="6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opLeftCell="D1" workbookViewId="0">
      <selection activeCell="B52" sqref="B52"/>
    </sheetView>
  </sheetViews>
  <sheetFormatPr defaultColWidth="8.85546875" defaultRowHeight="12.75" x14ac:dyDescent="0.2"/>
  <cols>
    <col min="1" max="16384" width="8.85546875" style="36"/>
  </cols>
  <sheetData>
    <row r="1" spans="1:11" x14ac:dyDescent="0.2">
      <c r="A1" s="36" t="s">
        <v>192</v>
      </c>
    </row>
    <row r="3" spans="1:11" x14ac:dyDescent="0.2">
      <c r="A3" s="36" t="s">
        <v>193</v>
      </c>
    </row>
    <row r="5" spans="1:11" ht="15" x14ac:dyDescent="0.25">
      <c r="A5" s="379" t="s">
        <v>198</v>
      </c>
    </row>
    <row r="7" spans="1:11" x14ac:dyDescent="0.2">
      <c r="A7" s="63" t="s">
        <v>195</v>
      </c>
    </row>
    <row r="8" spans="1:11" ht="15.75" thickBot="1" x14ac:dyDescent="0.3">
      <c r="A8" s="380"/>
    </row>
    <row r="9" spans="1:11" ht="13.5" thickTop="1" x14ac:dyDescent="0.2">
      <c r="A9" s="388" t="s">
        <v>197</v>
      </c>
      <c r="B9" s="389"/>
      <c r="C9" s="389"/>
      <c r="D9" s="389"/>
      <c r="E9" s="389"/>
      <c r="F9" s="389"/>
      <c r="G9" s="389"/>
      <c r="H9" s="389"/>
      <c r="I9" s="389"/>
      <c r="J9" s="389"/>
      <c r="K9" s="390"/>
    </row>
    <row r="10" spans="1:11" x14ac:dyDescent="0.2">
      <c r="A10" s="391"/>
      <c r="B10" s="392"/>
      <c r="C10" s="392"/>
      <c r="D10" s="392"/>
      <c r="E10" s="392"/>
      <c r="F10" s="392"/>
      <c r="G10" s="392"/>
      <c r="H10" s="392"/>
      <c r="I10" s="392"/>
      <c r="J10" s="392"/>
      <c r="K10" s="393"/>
    </row>
    <row r="11" spans="1:11" x14ac:dyDescent="0.2">
      <c r="A11" s="391"/>
      <c r="B11" s="392"/>
      <c r="C11" s="392"/>
      <c r="D11" s="392"/>
      <c r="E11" s="392"/>
      <c r="F11" s="392"/>
      <c r="G11" s="392"/>
      <c r="H11" s="392"/>
      <c r="I11" s="392"/>
      <c r="J11" s="392"/>
      <c r="K11" s="393"/>
    </row>
    <row r="12" spans="1:11" ht="13.5" thickBot="1" x14ac:dyDescent="0.25">
      <c r="A12" s="394"/>
      <c r="B12" s="395"/>
      <c r="C12" s="395"/>
      <c r="D12" s="395"/>
      <c r="E12" s="395"/>
      <c r="F12" s="395"/>
      <c r="G12" s="395"/>
      <c r="H12" s="395"/>
      <c r="I12" s="395"/>
      <c r="J12" s="395"/>
      <c r="K12" s="396"/>
    </row>
    <row r="13" spans="1:11" ht="13.5" thickTop="1" x14ac:dyDescent="0.2"/>
    <row r="15" spans="1:11" x14ac:dyDescent="0.2">
      <c r="A15" s="63" t="s">
        <v>196</v>
      </c>
    </row>
    <row r="16" spans="1:11" ht="15.75" thickBot="1" x14ac:dyDescent="0.3">
      <c r="A16" s="380"/>
    </row>
    <row r="17" spans="1:11" ht="13.5" customHeight="1" thickTop="1" x14ac:dyDescent="0.2">
      <c r="A17" s="388" t="s">
        <v>194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90"/>
    </row>
    <row r="18" spans="1:11" x14ac:dyDescent="0.2">
      <c r="A18" s="391"/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pans="1:11" x14ac:dyDescent="0.2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">
      <c r="A20" s="391"/>
      <c r="B20" s="392"/>
      <c r="C20" s="392"/>
      <c r="D20" s="392"/>
      <c r="E20" s="392"/>
      <c r="F20" s="392"/>
      <c r="G20" s="392"/>
      <c r="H20" s="392"/>
      <c r="I20" s="392"/>
      <c r="J20" s="392"/>
      <c r="K20" s="393"/>
    </row>
    <row r="21" spans="1:11" ht="13.5" thickBot="1" x14ac:dyDescent="0.25">
      <c r="A21" s="394"/>
      <c r="B21" s="395"/>
      <c r="C21" s="395"/>
      <c r="D21" s="395"/>
      <c r="E21" s="395"/>
      <c r="F21" s="395"/>
      <c r="G21" s="395"/>
      <c r="H21" s="395"/>
      <c r="I21" s="395"/>
      <c r="J21" s="395"/>
      <c r="K21" s="396"/>
    </row>
    <row r="22" spans="1:11" ht="13.5" thickTop="1" x14ac:dyDescent="0.2"/>
    <row r="24" spans="1:11" x14ac:dyDescent="0.2">
      <c r="A24" s="63" t="s">
        <v>199</v>
      </c>
    </row>
    <row r="25" spans="1:11" ht="15.75" thickBot="1" x14ac:dyDescent="0.3">
      <c r="A25" s="380"/>
    </row>
    <row r="26" spans="1:11" ht="13.5" thickTop="1" x14ac:dyDescent="0.2">
      <c r="A26" s="388" t="s">
        <v>200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90"/>
    </row>
    <row r="27" spans="1:11" x14ac:dyDescent="0.2">
      <c r="A27" s="391"/>
      <c r="B27" s="392"/>
      <c r="C27" s="392"/>
      <c r="D27" s="392"/>
      <c r="E27" s="392"/>
      <c r="F27" s="392"/>
      <c r="G27" s="392"/>
      <c r="H27" s="392"/>
      <c r="I27" s="392"/>
      <c r="J27" s="392"/>
      <c r="K27" s="393"/>
    </row>
    <row r="28" spans="1:11" x14ac:dyDescent="0.2">
      <c r="A28" s="391"/>
      <c r="B28" s="392"/>
      <c r="C28" s="392"/>
      <c r="D28" s="392"/>
      <c r="E28" s="392"/>
      <c r="F28" s="392"/>
      <c r="G28" s="392"/>
      <c r="H28" s="392"/>
      <c r="I28" s="392"/>
      <c r="J28" s="392"/>
      <c r="K28" s="393"/>
    </row>
    <row r="29" spans="1:11" x14ac:dyDescent="0.2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393"/>
    </row>
    <row r="30" spans="1:11" ht="13.5" thickBot="1" x14ac:dyDescent="0.25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spans="1:11" ht="13.5" thickTop="1" x14ac:dyDescent="0.2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3" spans="1:11" x14ac:dyDescent="0.2">
      <c r="A33" s="63" t="s">
        <v>201</v>
      </c>
    </row>
    <row r="34" spans="1:11" ht="15.75" thickBot="1" x14ac:dyDescent="0.3">
      <c r="A34" s="380"/>
    </row>
    <row r="35" spans="1:11" ht="13.5" thickTop="1" x14ac:dyDescent="0.2">
      <c r="A35" s="388" t="s">
        <v>202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90"/>
    </row>
    <row r="36" spans="1:11" x14ac:dyDescent="0.2">
      <c r="A36" s="391"/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spans="1:11" x14ac:dyDescent="0.2">
      <c r="A37" s="391"/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x14ac:dyDescent="0.2">
      <c r="A38" s="391"/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spans="1:11" ht="13.5" thickBot="1" x14ac:dyDescent="0.25">
      <c r="A39" s="394"/>
      <c r="B39" s="395"/>
      <c r="C39" s="395"/>
      <c r="D39" s="395"/>
      <c r="E39" s="395"/>
      <c r="F39" s="395"/>
      <c r="G39" s="395"/>
      <c r="H39" s="395"/>
      <c r="I39" s="395"/>
      <c r="J39" s="395"/>
      <c r="K39" s="396"/>
    </row>
    <row r="40" spans="1:11" ht="13.5" thickTop="1" x14ac:dyDescent="0.2"/>
    <row r="42" spans="1:11" x14ac:dyDescent="0.2">
      <c r="A42" s="63" t="s">
        <v>203</v>
      </c>
    </row>
    <row r="43" spans="1:11" ht="15.75" thickBot="1" x14ac:dyDescent="0.3">
      <c r="A43" s="380"/>
    </row>
    <row r="44" spans="1:11" ht="13.5" thickTop="1" x14ac:dyDescent="0.2">
      <c r="A44" s="388" t="s">
        <v>204</v>
      </c>
      <c r="B44" s="389"/>
      <c r="C44" s="389"/>
      <c r="D44" s="389"/>
      <c r="E44" s="389"/>
      <c r="F44" s="389"/>
      <c r="G44" s="389"/>
      <c r="H44" s="389"/>
      <c r="I44" s="389"/>
      <c r="J44" s="389"/>
      <c r="K44" s="390"/>
    </row>
    <row r="45" spans="1:11" x14ac:dyDescent="0.2">
      <c r="A45" s="391"/>
      <c r="B45" s="392"/>
      <c r="C45" s="392"/>
      <c r="D45" s="392"/>
      <c r="E45" s="392"/>
      <c r="F45" s="392"/>
      <c r="G45" s="392"/>
      <c r="H45" s="392"/>
      <c r="I45" s="392"/>
      <c r="J45" s="392"/>
      <c r="K45" s="393"/>
    </row>
    <row r="46" spans="1:11" x14ac:dyDescent="0.2">
      <c r="A46" s="391"/>
      <c r="B46" s="392"/>
      <c r="C46" s="392"/>
      <c r="D46" s="392"/>
      <c r="E46" s="392"/>
      <c r="F46" s="392"/>
      <c r="G46" s="392"/>
      <c r="H46" s="392"/>
      <c r="I46" s="392"/>
      <c r="J46" s="392"/>
      <c r="K46" s="393"/>
    </row>
    <row r="47" spans="1:11" x14ac:dyDescent="0.2">
      <c r="A47" s="391"/>
      <c r="B47" s="392"/>
      <c r="C47" s="392"/>
      <c r="D47" s="392"/>
      <c r="E47" s="392"/>
      <c r="F47" s="392"/>
      <c r="G47" s="392"/>
      <c r="H47" s="392"/>
      <c r="I47" s="392"/>
      <c r="J47" s="392"/>
      <c r="K47" s="393"/>
    </row>
    <row r="48" spans="1:11" ht="13.5" thickBot="1" x14ac:dyDescent="0.25">
      <c r="A48" s="394"/>
      <c r="B48" s="395"/>
      <c r="C48" s="395"/>
      <c r="D48" s="395"/>
      <c r="E48" s="395"/>
      <c r="F48" s="395"/>
      <c r="G48" s="395"/>
      <c r="H48" s="395"/>
      <c r="I48" s="395"/>
      <c r="J48" s="395"/>
      <c r="K48" s="396"/>
    </row>
    <row r="49" ht="13.5" thickTop="1" x14ac:dyDescent="0.2"/>
  </sheetData>
  <mergeCells count="5">
    <mergeCell ref="A35:K39"/>
    <mergeCell ref="A44:K48"/>
    <mergeCell ref="A9:K12"/>
    <mergeCell ref="A17:K21"/>
    <mergeCell ref="A26:K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2"/>
  <sheetViews>
    <sheetView view="pageBreakPreview" topLeftCell="A4" zoomScale="75" zoomScaleNormal="100" zoomScaleSheetLayoutView="75" workbookViewId="0">
      <selection activeCell="N24" sqref="N24"/>
    </sheetView>
  </sheetViews>
  <sheetFormatPr defaultColWidth="8.85546875" defaultRowHeight="12.75" x14ac:dyDescent="0.2"/>
  <cols>
    <col min="1" max="1" width="6.5703125" style="36" customWidth="1"/>
    <col min="2" max="5" width="11.42578125" style="36" customWidth="1"/>
    <col min="6" max="6" width="11.28515625" style="36" bestFit="1" customWidth="1"/>
    <col min="7" max="7" width="10.42578125" style="36" bestFit="1" customWidth="1"/>
    <col min="8" max="8" width="1.7109375" style="36" customWidth="1"/>
    <col min="9" max="9" width="9.85546875" style="36" customWidth="1"/>
    <col min="10" max="12" width="11.140625" style="36" customWidth="1"/>
    <col min="13" max="13" width="11.28515625" style="36" bestFit="1" customWidth="1"/>
    <col min="14" max="14" width="10.42578125" style="36" bestFit="1" customWidth="1"/>
    <col min="15" max="15" width="8.85546875" style="36"/>
    <col min="16" max="16" width="33.5703125" style="36" bestFit="1" customWidth="1"/>
    <col min="17" max="18" width="10.5703125" style="36" bestFit="1" customWidth="1"/>
    <col min="19" max="19" width="1" style="36" customWidth="1"/>
    <col min="20" max="16384" width="8.85546875" style="36"/>
  </cols>
  <sheetData>
    <row r="1" spans="1:20" s="217" customFormat="1" x14ac:dyDescent="0.2"/>
    <row r="2" spans="1:20" s="216" customFormat="1" ht="26.25" x14ac:dyDescent="0.4">
      <c r="A2" s="214" t="s">
        <v>216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0" s="213" customFormat="1" ht="16.149999999999999" customHeight="1" thickBot="1" x14ac:dyDescent="0.45">
      <c r="A3" s="296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</row>
    <row r="4" spans="1:20" ht="13.5" thickBot="1" x14ac:dyDescent="0.25">
      <c r="B4" s="63" t="s">
        <v>145</v>
      </c>
      <c r="C4" s="63"/>
      <c r="D4" s="63"/>
      <c r="E4" s="63"/>
      <c r="F4" s="133">
        <f>'SP Previsionale L-E (output)'!F4</f>
        <v>2021</v>
      </c>
      <c r="G4" s="133">
        <f>'SP Previsionale L-E (output)'!G4</f>
        <v>2020</v>
      </c>
      <c r="H4" s="63"/>
      <c r="I4" s="63"/>
      <c r="J4" s="63"/>
      <c r="K4" s="63"/>
      <c r="L4" s="63"/>
      <c r="M4" s="133">
        <f>F4</f>
        <v>2021</v>
      </c>
      <c r="N4" s="133">
        <f>G4</f>
        <v>2020</v>
      </c>
      <c r="P4" s="63" t="s">
        <v>146</v>
      </c>
      <c r="Q4" s="186">
        <f>M4</f>
        <v>2021</v>
      </c>
      <c r="R4" s="186">
        <f>N4</f>
        <v>2020</v>
      </c>
      <c r="S4" s="211"/>
    </row>
    <row r="5" spans="1:20" ht="13.5" thickBot="1" x14ac:dyDescent="0.25">
      <c r="B5" s="63"/>
      <c r="C5" s="94"/>
      <c r="D5" s="94"/>
      <c r="E5" s="94"/>
      <c r="F5" s="92"/>
      <c r="G5" s="92"/>
      <c r="H5" s="94"/>
      <c r="I5" s="94"/>
      <c r="J5" s="94"/>
      <c r="K5" s="94"/>
      <c r="L5" s="94"/>
      <c r="M5" s="92"/>
      <c r="N5" s="92"/>
      <c r="O5" s="285"/>
      <c r="P5" s="63"/>
      <c r="Q5" s="92"/>
      <c r="R5" s="92"/>
      <c r="S5" s="92"/>
    </row>
    <row r="6" spans="1:20" ht="13.5" thickBot="1" x14ac:dyDescent="0.25">
      <c r="B6" s="63" t="s">
        <v>1</v>
      </c>
      <c r="C6" s="94"/>
      <c r="D6" s="94"/>
      <c r="E6" s="94"/>
      <c r="F6" s="88">
        <v>12</v>
      </c>
      <c r="G6" s="88">
        <v>12</v>
      </c>
      <c r="H6" s="94"/>
      <c r="I6" s="94"/>
      <c r="J6" s="94"/>
      <c r="K6" s="94"/>
      <c r="L6" s="94"/>
      <c r="M6" s="88">
        <v>12</v>
      </c>
      <c r="N6" s="88">
        <v>12</v>
      </c>
      <c r="O6" s="92"/>
      <c r="P6" s="63" t="s">
        <v>1</v>
      </c>
      <c r="Q6" s="88">
        <v>12</v>
      </c>
      <c r="R6" s="88">
        <v>12</v>
      </c>
      <c r="S6" s="211"/>
    </row>
    <row r="7" spans="1:20" x14ac:dyDescent="0.2">
      <c r="O7" s="211"/>
    </row>
    <row r="8" spans="1:20" ht="13.5" thickBot="1" x14ac:dyDescent="0.25"/>
    <row r="9" spans="1:20" ht="13.5" thickBot="1" x14ac:dyDescent="0.25">
      <c r="B9" s="30"/>
      <c r="C9" s="31"/>
      <c r="D9" s="31"/>
      <c r="E9" s="31"/>
      <c r="F9" s="32"/>
      <c r="G9" s="32"/>
      <c r="H9" s="225"/>
      <c r="I9" s="288"/>
      <c r="J9" s="33"/>
      <c r="K9" s="33"/>
      <c r="L9" s="33"/>
      <c r="M9" s="33"/>
      <c r="N9" s="34"/>
      <c r="P9" s="47" t="s">
        <v>157</v>
      </c>
      <c r="Q9" s="48">
        <f>'CE Previsionale L-E (output)'!F10</f>
        <v>1260.75</v>
      </c>
      <c r="R9" s="48">
        <f>'CE Previsionale L-E (output)'!G10</f>
        <v>1230</v>
      </c>
      <c r="S9" s="48"/>
    </row>
    <row r="10" spans="1:20" ht="13.5" thickBot="1" x14ac:dyDescent="0.25">
      <c r="B10" s="35" t="s">
        <v>2</v>
      </c>
      <c r="C10" s="3"/>
      <c r="D10" s="3"/>
      <c r="E10" s="3"/>
      <c r="F10" s="14">
        <f>'SP Previsionale L-E (output)'!F10</f>
        <v>20</v>
      </c>
      <c r="G10" s="14">
        <f>'SP Previsionale L-E (output)'!G10</f>
        <v>60</v>
      </c>
      <c r="H10" s="226"/>
      <c r="I10" s="289" t="s">
        <v>162</v>
      </c>
      <c r="J10" s="290"/>
      <c r="K10" s="290"/>
      <c r="L10" s="290"/>
      <c r="M10" s="218">
        <f>'SP Previsionale L-E (output)'!O6</f>
        <v>351.95848541666669</v>
      </c>
      <c r="N10" s="218">
        <f>'SP Previsionale L-E (output)'!P6</f>
        <v>266.87479166666662</v>
      </c>
      <c r="O10" s="223"/>
      <c r="P10" s="47"/>
      <c r="Q10" s="47"/>
      <c r="R10" s="47"/>
      <c r="S10" s="47"/>
    </row>
    <row r="11" spans="1:20" ht="13.5" thickBot="1" x14ac:dyDescent="0.25">
      <c r="B11" s="35"/>
      <c r="C11" s="3"/>
      <c r="D11" s="3"/>
      <c r="E11" s="3"/>
      <c r="F11" s="15"/>
      <c r="G11" s="15"/>
      <c r="H11" s="226"/>
      <c r="I11" s="185"/>
      <c r="J11" s="223"/>
      <c r="K11" s="223"/>
      <c r="L11" s="223"/>
      <c r="M11" s="223"/>
      <c r="N11" s="37"/>
      <c r="O11" s="286"/>
      <c r="P11" s="47" t="s">
        <v>147</v>
      </c>
      <c r="Q11" s="48">
        <f>'CE Previsionale L-E (output)'!F14-'CE Previsionale L-E (output)'!F12</f>
        <v>629.15916666666669</v>
      </c>
      <c r="R11" s="48">
        <f>'CE Previsionale L-E (output)'!G14-'CE Previsionale L-E (output)'!G12</f>
        <v>615.16666666666674</v>
      </c>
      <c r="S11" s="48"/>
    </row>
    <row r="12" spans="1:20" ht="13.5" thickBot="1" x14ac:dyDescent="0.25">
      <c r="B12" s="35" t="s">
        <v>143</v>
      </c>
      <c r="C12" s="3"/>
      <c r="D12" s="3"/>
      <c r="E12" s="3"/>
      <c r="F12" s="14">
        <f>'SP Previsionale L-E (output)'!F12</f>
        <v>340</v>
      </c>
      <c r="G12" s="14">
        <f>'SP Previsionale L-E (output)'!G12</f>
        <v>420</v>
      </c>
      <c r="H12" s="226"/>
      <c r="I12" s="185"/>
      <c r="J12" s="223"/>
      <c r="K12" s="223"/>
      <c r="L12" s="223"/>
      <c r="M12" s="223"/>
      <c r="N12" s="37"/>
      <c r="O12" s="223"/>
      <c r="P12" s="47"/>
      <c r="Q12" s="47"/>
      <c r="R12" s="47"/>
      <c r="S12" s="47"/>
    </row>
    <row r="13" spans="1:20" ht="13.5" thickBot="1" x14ac:dyDescent="0.25">
      <c r="B13" s="38"/>
      <c r="C13" s="3"/>
      <c r="D13" s="3"/>
      <c r="E13" s="3"/>
      <c r="F13" s="15"/>
      <c r="G13" s="15"/>
      <c r="H13" s="226"/>
      <c r="I13" s="185"/>
      <c r="J13" s="223"/>
      <c r="K13" s="223"/>
      <c r="L13" s="223"/>
      <c r="M13" s="223"/>
      <c r="N13" s="37"/>
      <c r="O13" s="223"/>
      <c r="P13" s="47" t="s">
        <v>148</v>
      </c>
      <c r="Q13" s="48">
        <f>'CE Previsionale L-E (output)'!F16</f>
        <v>210.12499999999994</v>
      </c>
      <c r="R13" s="48">
        <f>'CE Previsionale L-E (output)'!G16</f>
        <v>204.99999999999997</v>
      </c>
      <c r="S13" s="48"/>
    </row>
    <row r="14" spans="1:20" ht="13.5" thickBot="1" x14ac:dyDescent="0.25">
      <c r="B14" s="35" t="s">
        <v>4</v>
      </c>
      <c r="C14" s="3"/>
      <c r="D14" s="3"/>
      <c r="E14" s="3"/>
      <c r="F14" s="14">
        <f>'SP Previsionale L-E (output)'!F14</f>
        <v>0</v>
      </c>
      <c r="G14" s="14">
        <f>'SP Previsionale L-E (output)'!G14</f>
        <v>0</v>
      </c>
      <c r="H14" s="226"/>
      <c r="I14" s="185"/>
      <c r="J14" s="223"/>
      <c r="K14" s="223"/>
      <c r="L14" s="223"/>
      <c r="M14" s="223"/>
      <c r="N14" s="37"/>
      <c r="O14" s="223"/>
      <c r="P14" s="47"/>
      <c r="Q14" s="47"/>
      <c r="R14" s="47"/>
      <c r="S14" s="47"/>
    </row>
    <row r="15" spans="1:20" ht="13.5" thickBot="1" x14ac:dyDescent="0.25">
      <c r="B15" s="35"/>
      <c r="C15" s="3"/>
      <c r="D15" s="3"/>
      <c r="E15" s="3"/>
      <c r="F15" s="15"/>
      <c r="G15" s="15"/>
      <c r="H15" s="226"/>
      <c r="I15" s="185"/>
      <c r="J15" s="223"/>
      <c r="K15" s="223"/>
      <c r="L15" s="223"/>
      <c r="M15" s="223"/>
      <c r="N15" s="37"/>
      <c r="O15" s="223"/>
      <c r="P15" s="49" t="s">
        <v>149</v>
      </c>
      <c r="Q15" s="50">
        <f>'CE Previsionale L-E (output)'!F22</f>
        <v>168.1</v>
      </c>
      <c r="R15" s="50">
        <f>'CE Previsionale L-E (output)'!G22</f>
        <v>164</v>
      </c>
      <c r="S15" s="50"/>
    </row>
    <row r="16" spans="1:20" ht="13.5" thickBot="1" x14ac:dyDescent="0.25">
      <c r="B16" s="38"/>
      <c r="C16" s="4" t="s">
        <v>5</v>
      </c>
      <c r="D16" s="3"/>
      <c r="E16" s="3"/>
      <c r="F16" s="14">
        <f>'SP Previsionale L-E (output)'!F16</f>
        <v>0</v>
      </c>
      <c r="G16" s="14">
        <f>'SP Previsionale L-E (output)'!G16</f>
        <v>0</v>
      </c>
      <c r="H16" s="226"/>
      <c r="I16" s="185"/>
      <c r="J16" s="223"/>
      <c r="K16" s="223"/>
      <c r="L16" s="223"/>
      <c r="M16" s="223"/>
      <c r="N16" s="37"/>
      <c r="O16" s="223"/>
    </row>
    <row r="17" spans="2:19" ht="13.5" thickBot="1" x14ac:dyDescent="0.25">
      <c r="B17" s="38"/>
      <c r="C17" s="3"/>
      <c r="D17" s="3"/>
      <c r="E17" s="3"/>
      <c r="F17" s="15"/>
      <c r="G17" s="15"/>
      <c r="H17" s="226"/>
      <c r="I17" s="185"/>
      <c r="J17" s="223"/>
      <c r="K17" s="223"/>
      <c r="L17" s="223"/>
      <c r="M17" s="223"/>
      <c r="N17" s="37"/>
      <c r="O17" s="223"/>
      <c r="P17" s="63" t="s">
        <v>214</v>
      </c>
      <c r="Q17" s="66">
        <f>Q9-Q11-Q13-Q15</f>
        <v>253.36583333333337</v>
      </c>
      <c r="R17" s="66">
        <f>R9-R11-R13-R15</f>
        <v>245.83333333333326</v>
      </c>
      <c r="S17" s="66"/>
    </row>
    <row r="18" spans="2:19" ht="13.5" thickBot="1" x14ac:dyDescent="0.25">
      <c r="B18" s="75" t="s">
        <v>135</v>
      </c>
      <c r="C18" s="76"/>
      <c r="D18" s="76"/>
      <c r="E18" s="77"/>
      <c r="F18" s="218">
        <f>F10+F12+F14</f>
        <v>360</v>
      </c>
      <c r="G18" s="222">
        <f>G10+G12+G14</f>
        <v>480</v>
      </c>
      <c r="H18" s="226"/>
      <c r="I18" s="289" t="s">
        <v>138</v>
      </c>
      <c r="J18" s="290"/>
      <c r="K18" s="290"/>
      <c r="L18" s="290"/>
      <c r="M18" s="218">
        <f>'SP Previsionale L-E (output)'!O12</f>
        <v>220</v>
      </c>
      <c r="N18" s="218">
        <f>'SP Previsionale L-E (output)'!P12</f>
        <v>210</v>
      </c>
      <c r="O18" s="223"/>
    </row>
    <row r="19" spans="2:19" ht="13.5" thickBot="1" x14ac:dyDescent="0.25">
      <c r="B19" s="38"/>
      <c r="C19" s="3"/>
      <c r="D19" s="3"/>
      <c r="E19" s="3"/>
      <c r="F19" s="15"/>
      <c r="G19" s="15"/>
      <c r="H19" s="226"/>
      <c r="I19" s="185"/>
      <c r="J19" s="223"/>
      <c r="K19" s="223"/>
      <c r="L19" s="223"/>
      <c r="M19" s="223"/>
      <c r="N19" s="37"/>
      <c r="O19" s="286"/>
      <c r="P19" s="41" t="s">
        <v>150</v>
      </c>
      <c r="Q19" s="42">
        <f>'CE Previsionale L-E (output)'!F26+'CE Previsionale L-E (output)'!O12</f>
        <v>120</v>
      </c>
      <c r="R19" s="42">
        <f>'CE Previsionale L-E (output)'!G26+'CE Previsionale L-E (output)'!P12</f>
        <v>120</v>
      </c>
      <c r="S19" s="42"/>
    </row>
    <row r="20" spans="2:19" ht="13.5" thickBot="1" x14ac:dyDescent="0.25">
      <c r="B20" s="35" t="s">
        <v>7</v>
      </c>
      <c r="C20" s="3"/>
      <c r="D20" s="3"/>
      <c r="E20" s="3"/>
      <c r="F20" s="14">
        <f>'SP Previsionale L-E (output)'!F22</f>
        <v>595.35416666666663</v>
      </c>
      <c r="G20" s="14">
        <f>'SP Previsionale L-E (output)'!G22</f>
        <v>580.83333333333326</v>
      </c>
      <c r="H20" s="226"/>
      <c r="I20" s="185"/>
      <c r="J20" s="232" t="s">
        <v>17</v>
      </c>
      <c r="K20" s="232"/>
      <c r="L20" s="232"/>
      <c r="M20" s="14">
        <f>'SP Previsionale L-E (output)'!O14</f>
        <v>220</v>
      </c>
      <c r="N20" s="14">
        <f>'SP Previsionale L-E (output)'!P14</f>
        <v>200</v>
      </c>
      <c r="O20" s="223"/>
    </row>
    <row r="21" spans="2:19" ht="13.5" thickBot="1" x14ac:dyDescent="0.25">
      <c r="B21" s="35"/>
      <c r="C21" s="3"/>
      <c r="D21" s="3"/>
      <c r="E21" s="3"/>
      <c r="F21" s="15"/>
      <c r="G21" s="15"/>
      <c r="H21" s="226"/>
      <c r="I21" s="185"/>
      <c r="J21" s="232"/>
      <c r="K21" s="232"/>
      <c r="L21" s="232"/>
      <c r="M21" s="212"/>
      <c r="N21" s="39"/>
      <c r="O21" s="287"/>
      <c r="P21" s="63" t="s">
        <v>215</v>
      </c>
      <c r="Q21" s="66">
        <f>Q17-Q19</f>
        <v>133.36583333333337</v>
      </c>
      <c r="R21" s="66">
        <f>R17-R19</f>
        <v>125.83333333333326</v>
      </c>
      <c r="S21" s="66"/>
    </row>
    <row r="22" spans="2:19" ht="13.5" thickBot="1" x14ac:dyDescent="0.25">
      <c r="B22" s="35"/>
      <c r="C22" s="4" t="s">
        <v>141</v>
      </c>
      <c r="D22" s="3"/>
      <c r="E22" s="3"/>
      <c r="F22" s="14">
        <f>'SP Previsionale L-E (output)'!F24</f>
        <v>0</v>
      </c>
      <c r="G22" s="14">
        <f>'SP Previsionale L-E (output)'!G24</f>
        <v>0</v>
      </c>
      <c r="H22" s="226"/>
      <c r="I22" s="185"/>
      <c r="J22" s="232" t="s">
        <v>144</v>
      </c>
      <c r="K22" s="232"/>
      <c r="L22" s="232"/>
      <c r="M22" s="14">
        <f>'SP Previsionale L-E (output)'!O16</f>
        <v>0</v>
      </c>
      <c r="N22" s="14">
        <f>'SP Previsionale L-E (output)'!P16</f>
        <v>0</v>
      </c>
      <c r="O22" s="287"/>
      <c r="P22" s="94"/>
      <c r="Q22" s="94"/>
      <c r="R22" s="94"/>
      <c r="S22" s="94"/>
    </row>
    <row r="23" spans="2:19" ht="13.5" thickBot="1" x14ac:dyDescent="0.25">
      <c r="B23" s="35"/>
      <c r="C23" s="4"/>
      <c r="D23" s="3"/>
      <c r="E23" s="3"/>
      <c r="F23" s="212"/>
      <c r="G23" s="212"/>
      <c r="H23" s="226"/>
      <c r="I23" s="185"/>
      <c r="J23" s="232"/>
      <c r="K23" s="232"/>
      <c r="L23" s="232"/>
      <c r="M23" s="212"/>
      <c r="N23" s="39"/>
      <c r="O23" s="287"/>
      <c r="P23" s="41" t="s">
        <v>151</v>
      </c>
      <c r="Q23" s="83">
        <f>'CE Previsionale L-E (output)'!O18</f>
        <v>23.198445833333324</v>
      </c>
      <c r="R23" s="83">
        <f>'CE Previsionale L-E (output)'!P18</f>
        <v>52.083749999999995</v>
      </c>
      <c r="S23" s="83"/>
    </row>
    <row r="24" spans="2:19" ht="13.5" thickBot="1" x14ac:dyDescent="0.25">
      <c r="B24" s="35"/>
      <c r="C24" s="4"/>
      <c r="D24" s="3"/>
      <c r="E24" s="3"/>
      <c r="F24" s="212"/>
      <c r="G24" s="212"/>
      <c r="H24" s="226"/>
      <c r="I24" s="185"/>
      <c r="J24" s="232" t="s">
        <v>205</v>
      </c>
      <c r="K24" s="232"/>
      <c r="L24" s="232"/>
      <c r="M24" s="14">
        <f>'SP Previsionale L-E (output)'!O18</f>
        <v>0</v>
      </c>
      <c r="N24" s="14">
        <f>'SP Previsionale L-E (output)'!P18</f>
        <v>10</v>
      </c>
      <c r="O24" s="287"/>
      <c r="P24" s="94"/>
      <c r="Q24" s="94"/>
      <c r="R24" s="94"/>
      <c r="S24" s="94"/>
    </row>
    <row r="25" spans="2:19" ht="13.5" thickBot="1" x14ac:dyDescent="0.25">
      <c r="B25" s="38"/>
      <c r="C25" s="3"/>
      <c r="D25" s="3"/>
      <c r="E25" s="3"/>
      <c r="F25" s="15"/>
      <c r="G25" s="15"/>
      <c r="H25" s="226"/>
      <c r="I25" s="185"/>
      <c r="J25" s="223"/>
      <c r="K25" s="223"/>
      <c r="L25" s="223"/>
      <c r="M25" s="223"/>
      <c r="N25" s="37"/>
      <c r="O25" s="287"/>
      <c r="P25" s="63" t="s">
        <v>152</v>
      </c>
      <c r="Q25" s="96">
        <f>Q21-Q23</f>
        <v>110.16738750000005</v>
      </c>
      <c r="R25" s="96">
        <f>R21-R23</f>
        <v>73.749583333333263</v>
      </c>
      <c r="S25" s="96"/>
    </row>
    <row r="26" spans="2:19" ht="13.5" thickBot="1" x14ac:dyDescent="0.25">
      <c r="B26" s="35" t="s">
        <v>142</v>
      </c>
      <c r="C26" s="3"/>
      <c r="D26" s="3"/>
      <c r="E26" s="3"/>
      <c r="F26" s="14">
        <f>'SP Previsionale L-E (output)'!F26+'SP Previsionale L-E (output)'!F30-F36</f>
        <v>630.375</v>
      </c>
      <c r="G26" s="14">
        <f>'SP Previsionale L-E (output)'!G26+'SP Previsionale L-E (output)'!G30-G36</f>
        <v>615</v>
      </c>
      <c r="H26" s="226"/>
      <c r="I26" s="185"/>
      <c r="J26" s="223"/>
      <c r="K26" s="223"/>
      <c r="L26" s="223"/>
      <c r="M26" s="223"/>
      <c r="N26" s="37"/>
      <c r="O26" s="223"/>
      <c r="P26" s="94"/>
      <c r="Q26" s="94"/>
      <c r="R26" s="94"/>
      <c r="S26" s="94"/>
    </row>
    <row r="27" spans="2:19" ht="13.5" thickBot="1" x14ac:dyDescent="0.25">
      <c r="B27" s="35"/>
      <c r="C27" s="3"/>
      <c r="D27" s="3"/>
      <c r="E27" s="3"/>
      <c r="F27" s="15"/>
      <c r="G27" s="15"/>
      <c r="H27" s="226"/>
      <c r="I27" s="185"/>
      <c r="J27" s="223"/>
      <c r="K27" s="223"/>
      <c r="L27" s="223"/>
      <c r="M27" s="223"/>
      <c r="N27" s="37"/>
      <c r="O27" s="223"/>
      <c r="P27" s="94" t="s">
        <v>154</v>
      </c>
      <c r="Q27" s="96">
        <f>'CE Previsionale L-E (output)'!O16</f>
        <v>0</v>
      </c>
      <c r="R27" s="96">
        <f>'CE Previsionale L-E (output)'!P16</f>
        <v>0</v>
      </c>
      <c r="S27" s="96"/>
    </row>
    <row r="28" spans="2:19" ht="13.5" thickBot="1" x14ac:dyDescent="0.25">
      <c r="B28" s="38"/>
      <c r="C28" s="4" t="s">
        <v>119</v>
      </c>
      <c r="D28" s="3"/>
      <c r="E28" s="3"/>
      <c r="F28" s="14">
        <f>'SP Previsionale L-E (output)'!F28</f>
        <v>619.86874999999998</v>
      </c>
      <c r="G28" s="14">
        <f>'SP Previsionale L-E (output)'!G28</f>
        <v>604.75</v>
      </c>
      <c r="H28" s="226"/>
      <c r="I28" s="185"/>
      <c r="J28" s="223"/>
      <c r="K28" s="223"/>
      <c r="L28" s="223"/>
      <c r="M28" s="223"/>
      <c r="N28" s="37"/>
      <c r="O28" s="223"/>
      <c r="P28" s="41"/>
      <c r="Q28" s="41"/>
      <c r="R28" s="41"/>
      <c r="S28" s="41"/>
    </row>
    <row r="29" spans="2:19" ht="13.5" thickBot="1" x14ac:dyDescent="0.25">
      <c r="B29" s="38"/>
      <c r="C29" s="4"/>
      <c r="D29" s="3"/>
      <c r="E29" s="3"/>
      <c r="F29" s="15"/>
      <c r="G29" s="15"/>
      <c r="H29" s="226"/>
      <c r="I29" s="185"/>
      <c r="J29" s="223"/>
      <c r="K29" s="223"/>
      <c r="L29" s="223"/>
      <c r="M29" s="223"/>
      <c r="N29" s="37"/>
      <c r="O29" s="223"/>
      <c r="P29" s="94"/>
      <c r="Q29" s="94"/>
      <c r="R29" s="94"/>
      <c r="S29" s="94"/>
    </row>
    <row r="30" spans="2:19" ht="13.5" thickBot="1" x14ac:dyDescent="0.25">
      <c r="B30" s="35" t="s">
        <v>179</v>
      </c>
      <c r="C30" s="3"/>
      <c r="D30" s="3"/>
      <c r="E30" s="3"/>
      <c r="F30" s="14">
        <f>'SP Previsionale L-E (output)'!O8+'SP Previsionale L-E (output)'!O10+'SP Previsionale L-E (output)'!O22-'SP Previsionale L-E (output)'!O24+'SP Previsionale L-E (output)'!O30</f>
        <v>647.29070763888899</v>
      </c>
      <c r="G30" s="14">
        <f>'SP Previsionale L-E (output)'!P8+'SP Previsionale L-E (output)'!P10+'SP Previsionale L-E (output)'!P22-'SP Previsionale L-E (output)'!P24+'SP Previsionale L-E (output)'!P30</f>
        <v>620.74979166666662</v>
      </c>
      <c r="H30" s="226"/>
      <c r="I30" s="289" t="s">
        <v>139</v>
      </c>
      <c r="J30" s="290"/>
      <c r="K30" s="290"/>
      <c r="L30" s="290"/>
      <c r="M30" s="218">
        <f>'SP Previsionale L-E (output)'!O24</f>
        <v>366.47997361111078</v>
      </c>
      <c r="N30" s="218">
        <f>'SP Previsionale L-E (output)'!P24</f>
        <v>578.20875000000001</v>
      </c>
      <c r="O30" s="223"/>
      <c r="P30" s="63" t="s">
        <v>155</v>
      </c>
      <c r="Q30" s="66">
        <f>Q25+Q27</f>
        <v>110.16738750000005</v>
      </c>
      <c r="R30" s="66">
        <f>R25+R27</f>
        <v>73.749583333333263</v>
      </c>
      <c r="S30" s="66"/>
    </row>
    <row r="31" spans="2:19" ht="13.5" thickBot="1" x14ac:dyDescent="0.25">
      <c r="B31" s="38"/>
      <c r="C31" s="3"/>
      <c r="D31" s="3"/>
      <c r="E31" s="3"/>
      <c r="F31" s="15"/>
      <c r="G31" s="15"/>
      <c r="H31" s="226"/>
      <c r="I31" s="185"/>
      <c r="J31" s="223"/>
      <c r="K31" s="223"/>
      <c r="L31" s="223"/>
      <c r="M31" s="223"/>
      <c r="N31" s="37"/>
      <c r="O31" s="286"/>
      <c r="P31" s="94"/>
      <c r="Q31" s="94"/>
      <c r="R31" s="66"/>
      <c r="S31" s="66"/>
    </row>
    <row r="32" spans="2:19" ht="13.5" thickBot="1" x14ac:dyDescent="0.25">
      <c r="B32" s="38"/>
      <c r="C32" s="4" t="s">
        <v>18</v>
      </c>
      <c r="D32" s="3"/>
      <c r="E32" s="3"/>
      <c r="F32" s="14">
        <f>'SP Previsionale L-E (output)'!O26</f>
        <v>486.19451388888893</v>
      </c>
      <c r="G32" s="14">
        <f>'SP Previsionale L-E (output)'!P26</f>
        <v>478.375</v>
      </c>
      <c r="H32" s="226"/>
      <c r="I32" s="185"/>
      <c r="J32" s="63" t="s">
        <v>213</v>
      </c>
      <c r="K32" s="232"/>
      <c r="L32" s="232"/>
      <c r="M32" s="14">
        <f>M30</f>
        <v>366.47997361111078</v>
      </c>
      <c r="N32" s="14">
        <f>N30</f>
        <v>578.20875000000001</v>
      </c>
      <c r="O32" s="223"/>
      <c r="P32" s="87" t="s">
        <v>43</v>
      </c>
      <c r="Q32" s="83">
        <f>'CE Previsionale L-E (output)'!O22</f>
        <v>0</v>
      </c>
      <c r="R32" s="83">
        <f>'CE Previsionale L-E (output)'!P22</f>
        <v>0</v>
      </c>
      <c r="S32" s="83"/>
    </row>
    <row r="33" spans="1:20" ht="13.5" thickBot="1" x14ac:dyDescent="0.25">
      <c r="B33" s="38"/>
      <c r="C33" s="3"/>
      <c r="D33" s="3"/>
      <c r="E33" s="3"/>
      <c r="F33" s="15"/>
      <c r="G33" s="15"/>
      <c r="H33" s="226"/>
      <c r="I33" s="185"/>
      <c r="J33" s="223"/>
      <c r="K33" s="223"/>
      <c r="L33" s="223"/>
      <c r="M33" s="223"/>
      <c r="N33" s="37"/>
      <c r="O33" s="287"/>
      <c r="P33" s="74"/>
      <c r="Q33" s="74"/>
      <c r="R33" s="74"/>
      <c r="S33" s="74"/>
    </row>
    <row r="34" spans="1:20" ht="13.5" thickBot="1" x14ac:dyDescent="0.25">
      <c r="B34" s="75" t="s">
        <v>136</v>
      </c>
      <c r="C34" s="76"/>
      <c r="D34" s="76"/>
      <c r="E34" s="77"/>
      <c r="F34" s="218">
        <f>F20+F26-F30</f>
        <v>578.43845902777753</v>
      </c>
      <c r="G34" s="222">
        <f>G20+G26-G30</f>
        <v>575.08354166666663</v>
      </c>
      <c r="H34" s="226"/>
      <c r="I34" s="185"/>
      <c r="J34" s="223"/>
      <c r="K34" s="223"/>
      <c r="L34" s="223"/>
      <c r="M34" s="223"/>
      <c r="N34" s="37"/>
      <c r="O34" s="223"/>
      <c r="P34" s="82" t="s">
        <v>44</v>
      </c>
      <c r="Q34" s="66">
        <f>Q30+Q32</f>
        <v>110.16738750000005</v>
      </c>
      <c r="R34" s="66">
        <f>R30+R32</f>
        <v>73.749583333333263</v>
      </c>
      <c r="S34" s="66"/>
    </row>
    <row r="35" spans="1:20" ht="13.5" thickBot="1" x14ac:dyDescent="0.25">
      <c r="B35" s="376"/>
      <c r="C35" s="377"/>
      <c r="D35" s="377"/>
      <c r="E35" s="378"/>
      <c r="F35" s="286"/>
      <c r="G35" s="286"/>
      <c r="H35" s="226"/>
      <c r="I35" s="185"/>
      <c r="J35" s="223"/>
      <c r="K35" s="223"/>
      <c r="L35" s="223"/>
      <c r="M35" s="223"/>
      <c r="N35" s="37"/>
      <c r="O35" s="223"/>
      <c r="P35" s="74"/>
      <c r="Q35" s="74"/>
      <c r="R35" s="74"/>
      <c r="S35" s="74"/>
    </row>
    <row r="36" spans="1:20" ht="13.5" thickBot="1" x14ac:dyDescent="0.25">
      <c r="B36" s="59" t="s">
        <v>224</v>
      </c>
      <c r="C36" s="377"/>
      <c r="D36" s="377"/>
      <c r="E36" s="378"/>
      <c r="F36" s="186">
        <f>IF('SP Previsionale L-E (output)'!F30&gt;3%*'CE Previsionale L-E (output)'!F10,'SP Previsionale L-E (output)'!F30,0)</f>
        <v>0</v>
      </c>
      <c r="G36" s="186">
        <f>IF('SP Previsionale L-E (output)'!G30&gt;3%*'CE Previsionale L-E (output)'!G10,'SP Previsionale L-E (output)'!G30,0)</f>
        <v>0</v>
      </c>
      <c r="H36" s="226"/>
      <c r="I36" s="185"/>
      <c r="J36" s="223"/>
      <c r="K36" s="223"/>
      <c r="L36" s="223"/>
      <c r="M36" s="223"/>
      <c r="N36" s="37"/>
      <c r="O36" s="223"/>
      <c r="P36" s="94" t="s">
        <v>178</v>
      </c>
      <c r="Q36" s="96">
        <f>'CE Previsionale L-E (output)'!O26</f>
        <v>55.08369375000008</v>
      </c>
      <c r="R36" s="96">
        <f>'CE Previsionale L-E (output)'!P26</f>
        <v>36.874791666666631</v>
      </c>
      <c r="S36" s="96"/>
    </row>
    <row r="37" spans="1:20" ht="13.5" thickBot="1" x14ac:dyDescent="0.25">
      <c r="B37" s="38"/>
      <c r="C37" s="3"/>
      <c r="D37" s="3"/>
      <c r="E37" s="3"/>
      <c r="F37" s="15"/>
      <c r="G37" s="15"/>
      <c r="H37" s="226"/>
      <c r="I37" s="185"/>
      <c r="J37" s="223"/>
      <c r="K37" s="223"/>
      <c r="L37" s="223"/>
      <c r="M37" s="223"/>
      <c r="N37" s="37"/>
      <c r="O37" s="286"/>
      <c r="P37" s="82"/>
      <c r="Q37" s="82"/>
      <c r="R37" s="82"/>
      <c r="S37" s="82"/>
    </row>
    <row r="38" spans="1:20" ht="13.5" thickBot="1" x14ac:dyDescent="0.25">
      <c r="B38" s="397" t="s">
        <v>137</v>
      </c>
      <c r="C38" s="398"/>
      <c r="D38" s="398"/>
      <c r="E38" s="399"/>
      <c r="F38" s="373">
        <f>F18+F34+F36</f>
        <v>938.43845902777753</v>
      </c>
      <c r="G38" s="373">
        <f>G18+G34+G36</f>
        <v>1055.0835416666666</v>
      </c>
      <c r="H38" s="381"/>
      <c r="I38" s="400" t="s">
        <v>140</v>
      </c>
      <c r="J38" s="401"/>
      <c r="K38" s="401"/>
      <c r="L38" s="402"/>
      <c r="M38" s="373">
        <f>M30+M18+M10</f>
        <v>938.43845902777753</v>
      </c>
      <c r="N38" s="373">
        <f>N30+N18+N10</f>
        <v>1055.0835416666666</v>
      </c>
      <c r="P38" s="85" t="s">
        <v>46</v>
      </c>
      <c r="Q38" s="86">
        <f>'Conto Economico (input)'!M28</f>
        <v>0</v>
      </c>
      <c r="R38" s="86">
        <f>'Conto Economico (input)'!L28</f>
        <v>0</v>
      </c>
      <c r="S38" s="86"/>
    </row>
    <row r="39" spans="1:20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P39" s="82"/>
      <c r="Q39" s="82"/>
      <c r="R39" s="82"/>
      <c r="S39" s="82"/>
    </row>
    <row r="40" spans="1:20" x14ac:dyDescent="0.2"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382"/>
      <c r="P40" s="82" t="s">
        <v>47</v>
      </c>
      <c r="Q40" s="66">
        <f>Q34-Q36</f>
        <v>55.083693749999966</v>
      </c>
      <c r="R40" s="66">
        <f>R34-R36</f>
        <v>36.874791666666631</v>
      </c>
      <c r="S40" s="66"/>
    </row>
    <row r="41" spans="1:20" ht="13.5" thickBot="1" x14ac:dyDescent="0.2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</row>
    <row r="42" spans="1:20" ht="14.25" thickTop="1" thickBot="1" x14ac:dyDescent="0.25"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</row>
    <row r="43" spans="1:20" ht="13.5" thickTop="1" x14ac:dyDescent="0.2"/>
    <row r="50" spans="3:13" x14ac:dyDescent="0.2"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</row>
    <row r="51" spans="3:13" x14ac:dyDescent="0.2"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</row>
    <row r="52" spans="3:13" x14ac:dyDescent="0.2">
      <c r="C52" s="291"/>
      <c r="D52" s="292"/>
      <c r="E52" s="293"/>
      <c r="F52" s="292"/>
      <c r="G52" s="293"/>
      <c r="H52" s="291"/>
      <c r="I52" s="292"/>
      <c r="J52" s="293"/>
      <c r="K52" s="292"/>
      <c r="L52" s="293"/>
      <c r="M52" s="291"/>
    </row>
    <row r="53" spans="3:13" x14ac:dyDescent="0.2">
      <c r="C53" s="291"/>
      <c r="D53" s="291"/>
      <c r="E53" s="291"/>
      <c r="F53" s="291"/>
      <c r="G53" s="291"/>
      <c r="H53" s="291"/>
      <c r="I53" s="292"/>
      <c r="J53" s="292"/>
      <c r="K53" s="292"/>
      <c r="L53" s="292"/>
      <c r="M53" s="291"/>
    </row>
    <row r="54" spans="3:13" x14ac:dyDescent="0.2">
      <c r="C54" s="291"/>
      <c r="D54" s="294"/>
      <c r="E54" s="295"/>
      <c r="F54" s="294"/>
      <c r="G54" s="295"/>
      <c r="H54" s="291"/>
      <c r="I54" s="292"/>
      <c r="J54" s="292"/>
      <c r="K54" s="292"/>
      <c r="L54" s="292"/>
      <c r="M54" s="291"/>
    </row>
    <row r="55" spans="3:13" x14ac:dyDescent="0.2">
      <c r="C55" s="291"/>
      <c r="D55" s="294"/>
      <c r="E55" s="294"/>
      <c r="F55" s="294"/>
      <c r="G55" s="294"/>
      <c r="H55" s="291"/>
      <c r="I55" s="292"/>
      <c r="J55" s="293"/>
      <c r="K55" s="292"/>
      <c r="L55" s="293"/>
      <c r="M55" s="291"/>
    </row>
    <row r="56" spans="3:13" x14ac:dyDescent="0.2">
      <c r="C56" s="291"/>
      <c r="D56" s="294"/>
      <c r="E56" s="295"/>
      <c r="F56" s="294"/>
      <c r="G56" s="295"/>
      <c r="H56" s="291"/>
      <c r="I56" s="292"/>
      <c r="J56" s="292"/>
      <c r="K56" s="292"/>
      <c r="L56" s="292"/>
      <c r="M56" s="291"/>
    </row>
    <row r="57" spans="3:13" x14ac:dyDescent="0.2">
      <c r="C57" s="291"/>
      <c r="D57" s="294"/>
      <c r="E57" s="294"/>
      <c r="F57" s="294"/>
      <c r="G57" s="294"/>
      <c r="H57" s="291"/>
      <c r="I57" s="292"/>
      <c r="J57" s="292"/>
      <c r="K57" s="292"/>
      <c r="L57" s="292"/>
      <c r="M57" s="291"/>
    </row>
    <row r="58" spans="3:13" x14ac:dyDescent="0.2">
      <c r="C58" s="291"/>
      <c r="D58" s="294"/>
      <c r="E58" s="295"/>
      <c r="F58" s="294"/>
      <c r="G58" s="295"/>
      <c r="H58" s="291"/>
      <c r="I58" s="292"/>
      <c r="J58" s="292"/>
      <c r="K58" s="292"/>
      <c r="L58" s="292"/>
      <c r="M58" s="291"/>
    </row>
    <row r="59" spans="3:13" x14ac:dyDescent="0.2">
      <c r="C59" s="291"/>
      <c r="D59" s="291"/>
      <c r="E59" s="291"/>
      <c r="F59" s="291"/>
      <c r="G59" s="291"/>
      <c r="H59" s="291"/>
      <c r="I59" s="292"/>
      <c r="J59" s="292"/>
      <c r="K59" s="292"/>
      <c r="L59" s="292"/>
      <c r="M59" s="291"/>
    </row>
    <row r="60" spans="3:13" x14ac:dyDescent="0.2">
      <c r="C60" s="291"/>
      <c r="D60" s="292"/>
      <c r="E60" s="293"/>
      <c r="F60" s="293"/>
      <c r="G60" s="293"/>
      <c r="H60" s="291"/>
      <c r="I60" s="292"/>
      <c r="J60" s="293"/>
      <c r="K60" s="292"/>
      <c r="L60" s="293"/>
      <c r="M60" s="291"/>
    </row>
    <row r="61" spans="3:13" x14ac:dyDescent="0.2"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</row>
    <row r="62" spans="3:13" x14ac:dyDescent="0.2">
      <c r="C62" s="291"/>
      <c r="D62" s="292"/>
      <c r="E62" s="293"/>
      <c r="F62" s="293"/>
      <c r="G62" s="293"/>
      <c r="H62" s="291"/>
      <c r="I62" s="292"/>
      <c r="J62" s="293"/>
      <c r="K62" s="293"/>
      <c r="L62" s="293"/>
      <c r="M62" s="291"/>
    </row>
  </sheetData>
  <mergeCells count="2">
    <mergeCell ref="B38:E38"/>
    <mergeCell ref="I38:L38"/>
  </mergeCells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9"/>
  <sheetViews>
    <sheetView view="pageBreakPreview" zoomScale="70" zoomScaleNormal="75" zoomScaleSheetLayoutView="70" workbookViewId="0">
      <selection activeCell="G24" sqref="G24"/>
    </sheetView>
  </sheetViews>
  <sheetFormatPr defaultColWidth="9.140625" defaultRowHeight="12.75" x14ac:dyDescent="0.2"/>
  <cols>
    <col min="1" max="1" width="9.140625" style="28"/>
    <col min="2" max="2" width="41.140625" style="28" bestFit="1" customWidth="1"/>
    <col min="3" max="3" width="10.5703125" style="28" bestFit="1" customWidth="1"/>
    <col min="4" max="4" width="9.140625" style="51"/>
    <col min="5" max="5" width="13.28515625" style="28" customWidth="1"/>
    <col min="6" max="6" width="9.140625" style="51"/>
    <col min="7" max="7" width="15.85546875" style="28" customWidth="1"/>
    <col min="8" max="8" width="9.140625" style="51"/>
    <col min="9" max="9" width="17.5703125" style="28" customWidth="1"/>
    <col min="10" max="16384" width="9.140625" style="28"/>
  </cols>
  <sheetData>
    <row r="1" spans="1:10" s="217" customFormat="1" x14ac:dyDescent="0.2"/>
    <row r="2" spans="1:10" s="216" customFormat="1" ht="26.25" x14ac:dyDescent="0.4">
      <c r="A2" s="214" t="s">
        <v>217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13.5" thickBot="1" x14ac:dyDescent="0.25"/>
    <row r="4" spans="1:10" ht="13.5" thickBot="1" x14ac:dyDescent="0.25">
      <c r="B4" s="90" t="s">
        <v>159</v>
      </c>
      <c r="C4" s="133">
        <f>'BILANCIO RIC. P-G (output)'!G4</f>
        <v>2018</v>
      </c>
      <c r="D4" s="134" t="s">
        <v>156</v>
      </c>
      <c r="E4" s="135">
        <f>C4+1</f>
        <v>2019</v>
      </c>
      <c r="F4" s="136" t="s">
        <v>156</v>
      </c>
      <c r="G4" s="298">
        <f>E4+1</f>
        <v>2020</v>
      </c>
      <c r="H4" s="299" t="s">
        <v>156</v>
      </c>
      <c r="I4" s="300">
        <f>G4+1</f>
        <v>2021</v>
      </c>
    </row>
    <row r="5" spans="1:10" ht="13.5" thickBot="1" x14ac:dyDescent="0.25">
      <c r="B5" s="57"/>
      <c r="C5" s="92"/>
      <c r="D5" s="72"/>
      <c r="E5" s="92"/>
      <c r="F5" s="72"/>
      <c r="G5" s="301"/>
      <c r="H5" s="302"/>
      <c r="I5" s="303"/>
    </row>
    <row r="6" spans="1:10" ht="13.5" thickBot="1" x14ac:dyDescent="0.25">
      <c r="B6" s="57"/>
      <c r="C6" s="88">
        <v>12</v>
      </c>
      <c r="D6" s="53"/>
      <c r="E6" s="115">
        <v>12</v>
      </c>
      <c r="F6" s="114"/>
      <c r="G6" s="304">
        <v>12</v>
      </c>
      <c r="H6" s="305"/>
      <c r="I6" s="306">
        <v>12</v>
      </c>
    </row>
    <row r="7" spans="1:10" x14ac:dyDescent="0.2">
      <c r="B7" s="57"/>
      <c r="C7" s="94"/>
      <c r="D7" s="56"/>
      <c r="E7" s="94"/>
      <c r="F7" s="56"/>
      <c r="G7" s="261"/>
      <c r="H7" s="307"/>
      <c r="I7" s="308"/>
    </row>
    <row r="8" spans="1:10" x14ac:dyDescent="0.2">
      <c r="B8" s="57" t="s">
        <v>157</v>
      </c>
      <c r="C8" s="96">
        <f>'BILANCIO RIC. P-G (output)'!R9</f>
        <v>1200</v>
      </c>
      <c r="D8" s="73">
        <f>E8/C8-1</f>
        <v>0</v>
      </c>
      <c r="E8" s="96">
        <f>'BILANCIO RIC. P-G (output)'!Q9</f>
        <v>1200</v>
      </c>
      <c r="F8" s="73">
        <f>G8/E8-1</f>
        <v>2.4999999999999911E-2</v>
      </c>
      <c r="G8" s="309">
        <f>'BILANCIO PREV P-G (output)'!R9</f>
        <v>1230</v>
      </c>
      <c r="H8" s="310">
        <f>I8/G8-1</f>
        <v>2.4999999999999911E-2</v>
      </c>
      <c r="I8" s="311">
        <f>'BILANCIO PREV P-G (output)'!Q9</f>
        <v>1260.75</v>
      </c>
    </row>
    <row r="9" spans="1:10" x14ac:dyDescent="0.2">
      <c r="B9" s="57" t="s">
        <v>158</v>
      </c>
      <c r="C9" s="96">
        <f>'BILANCIO RIC. P-G (output)'!G38</f>
        <v>1200</v>
      </c>
      <c r="D9" s="73">
        <f>E9/C9-1</f>
        <v>0</v>
      </c>
      <c r="E9" s="96">
        <f>'BILANCIO RIC. P-G (output)'!F38</f>
        <v>1200</v>
      </c>
      <c r="F9" s="73">
        <f>G9/E9-1</f>
        <v>-0.12076371527777785</v>
      </c>
      <c r="G9" s="309">
        <f>'BILANCIO PREV P-G (output)'!G38</f>
        <v>1055.0835416666666</v>
      </c>
      <c r="H9" s="310">
        <f>I9/G9-1</f>
        <v>-0.11055530489522214</v>
      </c>
      <c r="I9" s="311">
        <f>'BILANCIO PREV P-G (output)'!F38</f>
        <v>938.43845902777753</v>
      </c>
    </row>
    <row r="10" spans="1:10" x14ac:dyDescent="0.2">
      <c r="B10" s="57"/>
      <c r="C10" s="94"/>
      <c r="D10" s="56"/>
      <c r="E10" s="94"/>
      <c r="F10" s="73"/>
      <c r="G10" s="261"/>
      <c r="H10" s="310"/>
      <c r="I10" s="308"/>
    </row>
    <row r="11" spans="1:10" x14ac:dyDescent="0.2">
      <c r="B11" s="59" t="s">
        <v>160</v>
      </c>
      <c r="C11" s="98">
        <f>C8/C9</f>
        <v>1</v>
      </c>
      <c r="D11" s="99"/>
      <c r="E11" s="98">
        <f>E8/E9</f>
        <v>1</v>
      </c>
      <c r="F11" s="73">
        <f>G11/E11-1</f>
        <v>0.16578446296018035</v>
      </c>
      <c r="G11" s="312">
        <f>G8/G9</f>
        <v>1.1657844629601803</v>
      </c>
      <c r="H11" s="310">
        <f>I11/G11-1</f>
        <v>0.15240442226624706</v>
      </c>
      <c r="I11" s="313">
        <f>I8/I9</f>
        <v>1.3434551705245938</v>
      </c>
    </row>
    <row r="12" spans="1:10" x14ac:dyDescent="0.2">
      <c r="B12" s="57"/>
      <c r="C12" s="94"/>
      <c r="D12" s="56"/>
      <c r="E12" s="94"/>
      <c r="F12" s="73"/>
      <c r="G12" s="261"/>
      <c r="H12" s="310"/>
      <c r="I12" s="308"/>
    </row>
    <row r="13" spans="1:10" x14ac:dyDescent="0.2">
      <c r="B13" s="57" t="s">
        <v>135</v>
      </c>
      <c r="C13" s="96">
        <f>'BILANCIO RIC. P-G (output)'!G18</f>
        <v>600</v>
      </c>
      <c r="D13" s="73">
        <f>E13/C13-1</f>
        <v>0</v>
      </c>
      <c r="E13" s="96">
        <f>'BILANCIO RIC. P-G (output)'!F18</f>
        <v>600</v>
      </c>
      <c r="F13" s="73">
        <f>G13/E13-1</f>
        <v>-0.19999999999999996</v>
      </c>
      <c r="G13" s="309">
        <f>'BILANCIO PREV P-G (output)'!G18</f>
        <v>480</v>
      </c>
      <c r="H13" s="310">
        <f>I13/G13-1</f>
        <v>-0.25</v>
      </c>
      <c r="I13" s="311">
        <f>'BILANCIO PREV P-G (output)'!F18</f>
        <v>360</v>
      </c>
    </row>
    <row r="14" spans="1:10" x14ac:dyDescent="0.2">
      <c r="B14" s="57" t="s">
        <v>136</v>
      </c>
      <c r="C14" s="96">
        <f>'BILANCIO RIC. P-G (output)'!G34</f>
        <v>600</v>
      </c>
      <c r="D14" s="73">
        <f>E14/C14-1</f>
        <v>0</v>
      </c>
      <c r="E14" s="96">
        <f>'BILANCIO RIC. P-G (output)'!F34</f>
        <v>600</v>
      </c>
      <c r="F14" s="73">
        <f>G14/E14-1</f>
        <v>-4.1527430555555633E-2</v>
      </c>
      <c r="G14" s="309">
        <f>'BILANCIO PREV P-G (output)'!G34</f>
        <v>575.08354166666663</v>
      </c>
      <c r="H14" s="310">
        <f>I14/G14-1</f>
        <v>5.8337912981962781E-3</v>
      </c>
      <c r="I14" s="311">
        <f>'BILANCIO PREV P-G (output)'!F34</f>
        <v>578.43845902777753</v>
      </c>
    </row>
    <row r="15" spans="1:10" x14ac:dyDescent="0.2">
      <c r="B15" s="57"/>
      <c r="C15" s="94"/>
      <c r="D15" s="56"/>
      <c r="E15" s="94"/>
      <c r="F15" s="73"/>
      <c r="G15" s="261"/>
      <c r="H15" s="310"/>
      <c r="I15" s="308"/>
    </row>
    <row r="16" spans="1:10" x14ac:dyDescent="0.2">
      <c r="B16" s="59" t="s">
        <v>161</v>
      </c>
      <c r="C16" s="101">
        <f>C14/C8*360</f>
        <v>180</v>
      </c>
      <c r="D16" s="102"/>
      <c r="E16" s="101">
        <f>E14/E8*360</f>
        <v>180</v>
      </c>
      <c r="F16" s="73">
        <f>G16/E16-1</f>
        <v>-6.4904810298103022E-2</v>
      </c>
      <c r="G16" s="314">
        <f>G14/G8*360</f>
        <v>168.31713414634146</v>
      </c>
      <c r="H16" s="310">
        <f>I16/G16-1</f>
        <v>-1.869874019688178E-2</v>
      </c>
      <c r="I16" s="315">
        <f>I14/I8*360</f>
        <v>165.16981578425532</v>
      </c>
    </row>
    <row r="17" spans="2:9" x14ac:dyDescent="0.2">
      <c r="B17" s="57"/>
      <c r="C17" s="94"/>
      <c r="D17" s="56"/>
      <c r="E17" s="94"/>
      <c r="F17" s="73"/>
      <c r="G17" s="261"/>
      <c r="H17" s="310"/>
      <c r="I17" s="308"/>
    </row>
    <row r="18" spans="2:9" x14ac:dyDescent="0.2">
      <c r="B18" s="57" t="s">
        <v>162</v>
      </c>
      <c r="C18" s="96">
        <f>'BILANCIO RIC. P-G (output)'!N10</f>
        <v>200</v>
      </c>
      <c r="D18" s="73">
        <f>E18/C18-1</f>
        <v>0</v>
      </c>
      <c r="E18" s="96">
        <f>'BILANCIO RIC. P-G (output)'!M10</f>
        <v>200</v>
      </c>
      <c r="F18" s="73">
        <f>G18/E18-1</f>
        <v>0.33437395833333317</v>
      </c>
      <c r="G18" s="309">
        <f>'BILANCIO PREV P-G (output)'!N10</f>
        <v>266.87479166666662</v>
      </c>
      <c r="H18" s="310">
        <f>I18/G18-1</f>
        <v>0.31881502639736681</v>
      </c>
      <c r="I18" s="311">
        <f>'BILANCIO PREV P-G (output)'!M10</f>
        <v>351.95848541666669</v>
      </c>
    </row>
    <row r="19" spans="2:9" x14ac:dyDescent="0.2">
      <c r="B19" s="57" t="s">
        <v>163</v>
      </c>
      <c r="C19" s="96">
        <f>'BILANCIO RIC. P-G (output)'!N18</f>
        <v>200</v>
      </c>
      <c r="D19" s="73">
        <f>E19/C19-1</f>
        <v>0</v>
      </c>
      <c r="E19" s="96">
        <f>'BILANCIO RIC. P-G (output)'!M18</f>
        <v>200</v>
      </c>
      <c r="F19" s="73">
        <f>G19/E19-1</f>
        <v>5.0000000000000044E-2</v>
      </c>
      <c r="G19" s="309">
        <f>'BILANCIO PREV P-G (output)'!N18</f>
        <v>210</v>
      </c>
      <c r="H19" s="310">
        <f>I19/G19-1</f>
        <v>4.7619047619047672E-2</v>
      </c>
      <c r="I19" s="311">
        <f>'BILANCIO PREV P-G (output)'!M18</f>
        <v>220</v>
      </c>
    </row>
    <row r="20" spans="2:9" x14ac:dyDescent="0.2">
      <c r="B20" s="57"/>
      <c r="C20" s="94"/>
      <c r="D20" s="56"/>
      <c r="E20" s="94"/>
      <c r="F20" s="73"/>
      <c r="G20" s="261"/>
      <c r="H20" s="310"/>
      <c r="I20" s="308"/>
    </row>
    <row r="21" spans="2:9" x14ac:dyDescent="0.2">
      <c r="B21" s="59" t="s">
        <v>164</v>
      </c>
      <c r="C21" s="60">
        <f>(C18+C19)/C13</f>
        <v>0.66666666666666663</v>
      </c>
      <c r="D21" s="61"/>
      <c r="E21" s="60">
        <f>(E18+E19)/E13</f>
        <v>0.66666666666666663</v>
      </c>
      <c r="F21" s="73">
        <f>G21/E21-1</f>
        <v>0.4902337239583332</v>
      </c>
      <c r="G21" s="316">
        <f>(G18+G19)/G13</f>
        <v>0.99348914930555543</v>
      </c>
      <c r="H21" s="310">
        <f>I21/G21-1</f>
        <v>0.59918562946801956</v>
      </c>
      <c r="I21" s="317">
        <f>(I18+I19)/I13</f>
        <v>1.588773570601852</v>
      </c>
    </row>
    <row r="22" spans="2:9" x14ac:dyDescent="0.2">
      <c r="B22" s="57"/>
      <c r="C22" s="94"/>
      <c r="D22" s="56"/>
      <c r="E22" s="94"/>
      <c r="F22" s="73"/>
      <c r="G22" s="261"/>
      <c r="H22" s="310"/>
      <c r="I22" s="308"/>
    </row>
    <row r="23" spans="2:9" x14ac:dyDescent="0.2">
      <c r="B23" s="57" t="s">
        <v>165</v>
      </c>
      <c r="C23" s="96">
        <f>'BILANCIO RIC. P-G (output)'!N30</f>
        <v>800</v>
      </c>
      <c r="D23" s="73">
        <f>E23/C23-1</f>
        <v>0</v>
      </c>
      <c r="E23" s="96">
        <f>'BILANCIO RIC. P-G (output)'!M30</f>
        <v>800</v>
      </c>
      <c r="F23" s="73">
        <f>G23/E23-1</f>
        <v>-0.27723906249999997</v>
      </c>
      <c r="G23" s="309">
        <f>'BILANCIO PREV P-G (output)'!N30</f>
        <v>578.20875000000001</v>
      </c>
      <c r="H23" s="310">
        <f>I23/G23-1</f>
        <v>-0.36618051246870487</v>
      </c>
      <c r="I23" s="311">
        <f>'BILANCIO PREV P-G (output)'!M30</f>
        <v>366.47997361111078</v>
      </c>
    </row>
    <row r="24" spans="2:9" x14ac:dyDescent="0.2">
      <c r="B24" s="57" t="s">
        <v>166</v>
      </c>
      <c r="C24" s="96">
        <f>C19+C23</f>
        <v>1000</v>
      </c>
      <c r="D24" s="73">
        <f>E24/C24-1</f>
        <v>0</v>
      </c>
      <c r="E24" s="96">
        <f>E19+E23</f>
        <v>1000</v>
      </c>
      <c r="F24" s="73">
        <f>G24/E24-1</f>
        <v>-0.21179124999999999</v>
      </c>
      <c r="G24" s="309">
        <f>G23+G19</f>
        <v>788.20875000000001</v>
      </c>
      <c r="H24" s="310">
        <f>I24/G24-1</f>
        <v>-0.25593318570605716</v>
      </c>
      <c r="I24" s="311">
        <f>I23+I19</f>
        <v>586.47997361111084</v>
      </c>
    </row>
    <row r="25" spans="2:9" x14ac:dyDescent="0.2">
      <c r="B25" s="57"/>
      <c r="C25" s="94"/>
      <c r="D25" s="56"/>
      <c r="E25" s="94"/>
      <c r="F25" s="73"/>
      <c r="G25" s="261"/>
      <c r="H25" s="310"/>
      <c r="I25" s="308"/>
    </row>
    <row r="26" spans="2:9" x14ac:dyDescent="0.2">
      <c r="B26" s="59" t="s">
        <v>167</v>
      </c>
      <c r="C26" s="104">
        <f>C24/C18</f>
        <v>5</v>
      </c>
      <c r="D26" s="105"/>
      <c r="E26" s="104">
        <f>E24/E18</f>
        <v>5</v>
      </c>
      <c r="F26" s="73">
        <f>G26/E26-1</f>
        <v>-0.40930445691214423</v>
      </c>
      <c r="G26" s="318">
        <f>G24/G18</f>
        <v>2.9534777154392788</v>
      </c>
      <c r="H26" s="310">
        <f>I26/G26-1</f>
        <v>-0.4358065388999055</v>
      </c>
      <c r="I26" s="319">
        <f>I24/I18</f>
        <v>1.6663328145556868</v>
      </c>
    </row>
    <row r="27" spans="2:9" x14ac:dyDescent="0.2">
      <c r="B27" s="59"/>
      <c r="C27" s="63"/>
      <c r="D27" s="64"/>
      <c r="E27" s="63"/>
      <c r="F27" s="73"/>
      <c r="G27" s="320"/>
      <c r="H27" s="310"/>
      <c r="I27" s="321"/>
    </row>
    <row r="28" spans="2:9" x14ac:dyDescent="0.2">
      <c r="B28" s="59" t="s">
        <v>168</v>
      </c>
      <c r="C28" s="107">
        <f>'BILANCIO RIC. P-G (output)'!R21/'QUADRO DI SINTESI (output)'!C9</f>
        <v>0.1</v>
      </c>
      <c r="D28" s="64"/>
      <c r="E28" s="107">
        <f>'BILANCIO RIC. P-G (output)'!Q21/'QUADRO DI SINTESI (output)'!E9</f>
        <v>0.1</v>
      </c>
      <c r="F28" s="73">
        <f>G28/E28-1</f>
        <v>0.1926385766056038</v>
      </c>
      <c r="G28" s="322">
        <f>'BILANCIO PREV P-G (output)'!R21/'BILANCIO PREV P-G (output)'!G38</f>
        <v>0.11926385766056039</v>
      </c>
      <c r="H28" s="310">
        <f>I28/G28-1</f>
        <v>0.19159845798784114</v>
      </c>
      <c r="I28" s="323">
        <f>'BILANCIO PREV P-G (output)'!Q21/'BILANCIO PREV P-G (output)'!F38</f>
        <v>0.14211462888200513</v>
      </c>
    </row>
    <row r="29" spans="2:9" x14ac:dyDescent="0.2">
      <c r="B29" s="59" t="s">
        <v>169</v>
      </c>
      <c r="C29" s="107">
        <f>'BILANCIO RIC. P-G (output)'!R23/'QUADRO DI SINTESI (output)'!C24</f>
        <v>0.06</v>
      </c>
      <c r="D29" s="64"/>
      <c r="E29" s="107">
        <f>'BILANCIO RIC. P-G (output)'!Q23/'QUADRO DI SINTESI (output)'!E24</f>
        <v>0.06</v>
      </c>
      <c r="F29" s="73">
        <f>G29/E29-1</f>
        <v>0.10131040793444623</v>
      </c>
      <c r="G29" s="322">
        <f>'BILANCIO PREV P-G (output)'!R23/'QUADRO SINT PREV (output)'!G24</f>
        <v>6.6078624476066772E-2</v>
      </c>
      <c r="H29" s="310">
        <f>I29/G29-1</f>
        <v>-0.40138897718495958</v>
      </c>
      <c r="I29" s="323">
        <f>'BILANCIO PREV P-G (output)'!Q23/'QUADRO SINT PREV (output)'!I24</f>
        <v>3.9555392983829298E-2</v>
      </c>
    </row>
    <row r="30" spans="2:9" x14ac:dyDescent="0.2">
      <c r="B30" s="59"/>
      <c r="C30" s="63"/>
      <c r="D30" s="64"/>
      <c r="E30" s="63"/>
      <c r="F30" s="73"/>
      <c r="G30" s="320"/>
      <c r="H30" s="310"/>
      <c r="I30" s="321"/>
    </row>
    <row r="31" spans="2:9" ht="13.5" thickBot="1" x14ac:dyDescent="0.25">
      <c r="B31" s="68" t="s">
        <v>170</v>
      </c>
      <c r="C31" s="128">
        <f>'BILANCIO RIC. P-G (output)'!R40</f>
        <v>30</v>
      </c>
      <c r="D31" s="129"/>
      <c r="E31" s="128">
        <f>'BILANCIO RIC. P-G (output)'!Q40</f>
        <v>30</v>
      </c>
      <c r="F31" s="130">
        <f>G31/E31-1</f>
        <v>0.22915972222222103</v>
      </c>
      <c r="G31" s="324">
        <f>'BILANCIO PREV P-G (output)'!R40</f>
        <v>36.874791666666631</v>
      </c>
      <c r="H31" s="325">
        <f>I31/G31-1</f>
        <v>0.49380352431369712</v>
      </c>
      <c r="I31" s="326">
        <f>'BILANCIO PREV P-G (output)'!Q40</f>
        <v>55.083693749999966</v>
      </c>
    </row>
    <row r="32" spans="2:9" ht="13.5" thickBot="1" x14ac:dyDescent="0.25">
      <c r="B32" s="43"/>
      <c r="C32" s="44"/>
      <c r="D32" s="54"/>
      <c r="E32" s="66"/>
      <c r="F32" s="54"/>
      <c r="G32" s="327"/>
      <c r="H32" s="328"/>
      <c r="I32" s="327"/>
    </row>
    <row r="33" spans="1:10" ht="13.5" thickBot="1" x14ac:dyDescent="0.25">
      <c r="B33" s="55" t="s">
        <v>171</v>
      </c>
      <c r="C33" s="116"/>
      <c r="D33" s="117"/>
      <c r="E33" s="116"/>
      <c r="F33" s="117"/>
      <c r="G33" s="329"/>
      <c r="H33" s="330"/>
      <c r="I33" s="331"/>
    </row>
    <row r="34" spans="1:10" x14ac:dyDescent="0.2">
      <c r="B34" s="57"/>
      <c r="C34" s="94"/>
      <c r="D34" s="56"/>
      <c r="E34" s="94"/>
      <c r="F34" s="56"/>
      <c r="G34" s="261"/>
      <c r="H34" s="307"/>
      <c r="I34" s="308"/>
    </row>
    <row r="35" spans="1:10" x14ac:dyDescent="0.2">
      <c r="B35" s="57" t="s">
        <v>172</v>
      </c>
      <c r="C35" s="111">
        <f>'BILANCIO RIC. P-G (output)'!G20/'QUADRO DI SINTESI (output)'!C8*360</f>
        <v>180</v>
      </c>
      <c r="D35" s="58"/>
      <c r="E35" s="111">
        <f>'BILANCIO RIC. P-G (output)'!F20/'QUADRO DI SINTESI (output)'!E8*360</f>
        <v>180</v>
      </c>
      <c r="F35" s="58"/>
      <c r="G35" s="332">
        <f>'BILANCIO PREV P-G (output)'!G20/'QUADRO SINT PREV (output)'!G8*360</f>
        <v>169.99999999999997</v>
      </c>
      <c r="H35" s="333"/>
      <c r="I35" s="334">
        <f>'BILANCIO PREV P-G (output)'!F20/'QUADRO SINT PREV (output)'!I8*360</f>
        <v>170</v>
      </c>
    </row>
    <row r="36" spans="1:10" x14ac:dyDescent="0.2">
      <c r="B36" s="57" t="s">
        <v>173</v>
      </c>
      <c r="C36" s="111">
        <f>'BILANCIO RIC. P-G (output)'!G26/'QUADRO DI SINTESI (output)'!C8*360</f>
        <v>180</v>
      </c>
      <c r="D36" s="58"/>
      <c r="E36" s="111">
        <f>'BILANCIO RIC. P-G (output)'!F26/'QUADRO DI SINTESI (output)'!E8*360</f>
        <v>180</v>
      </c>
      <c r="F36" s="58"/>
      <c r="G36" s="332">
        <f>'BILANCIO PREV P-G (output)'!G26/'QUADRO SINT PREV (output)'!G8*360</f>
        <v>180</v>
      </c>
      <c r="H36" s="333"/>
      <c r="I36" s="334">
        <f>'BILANCIO PREV P-G (output)'!F26/'QUADRO SINT PREV (output)'!I8*360</f>
        <v>180</v>
      </c>
    </row>
    <row r="37" spans="1:10" x14ac:dyDescent="0.2">
      <c r="B37" s="57" t="s">
        <v>174</v>
      </c>
      <c r="C37" s="111">
        <f>'BILANCIO RIC. P-G (output)'!G30/'QUADRO DI SINTESI (output)'!C8*360</f>
        <v>180</v>
      </c>
      <c r="D37" s="58"/>
      <c r="E37" s="111">
        <f>'BILANCIO RIC. P-G (output)'!F30/'QUADRO DI SINTESI (output)'!E8*360</f>
        <v>180</v>
      </c>
      <c r="F37" s="58"/>
      <c r="G37" s="332">
        <f>'BILANCIO PREV P-G (output)'!G30/'QUADRO SINT PREV (output)'!G8*360</f>
        <v>181.68286585365851</v>
      </c>
      <c r="H37" s="333"/>
      <c r="I37" s="334">
        <f>'BILANCIO PREV P-G (output)'!F30/'QUADRO SINT PREV (output)'!I8*360</f>
        <v>184.83018421574459</v>
      </c>
    </row>
    <row r="38" spans="1:10" x14ac:dyDescent="0.2">
      <c r="B38" s="57"/>
      <c r="C38" s="94"/>
      <c r="D38" s="56"/>
      <c r="E38" s="94"/>
      <c r="F38" s="56"/>
      <c r="G38" s="261"/>
      <c r="H38" s="307"/>
      <c r="I38" s="308"/>
    </row>
    <row r="39" spans="1:10" s="36" customFormat="1" x14ac:dyDescent="0.2">
      <c r="B39" s="59" t="s">
        <v>224</v>
      </c>
      <c r="C39" s="94">
        <f>'QUADRO DI SINTESI (output)'!C39</f>
        <v>0</v>
      </c>
      <c r="D39" s="94"/>
      <c r="E39" s="94">
        <f>'QUADRO DI SINTESI (output)'!E39</f>
        <v>0</v>
      </c>
      <c r="F39" s="56"/>
      <c r="G39" s="332">
        <f>'BILANCIO PREV P-G (output)'!G36</f>
        <v>0</v>
      </c>
      <c r="H39" s="333"/>
      <c r="I39" s="334">
        <f>'BILANCIO PREV P-G (output)'!F36</f>
        <v>0</v>
      </c>
    </row>
    <row r="40" spans="1:10" x14ac:dyDescent="0.2">
      <c r="B40" s="57"/>
      <c r="C40" s="94"/>
      <c r="D40" s="56"/>
      <c r="E40" s="94"/>
      <c r="F40" s="56"/>
      <c r="G40" s="261"/>
      <c r="H40" s="307"/>
      <c r="I40" s="308"/>
    </row>
    <row r="41" spans="1:10" x14ac:dyDescent="0.2">
      <c r="B41" s="59" t="s">
        <v>175</v>
      </c>
      <c r="C41" s="107">
        <f>'BILANCIO RIC. P-G (output)'!R11/'BILANCIO RIC. P-G (output)'!R9</f>
        <v>0.5</v>
      </c>
      <c r="D41" s="372"/>
      <c r="E41" s="107">
        <f>'BILANCIO RIC. P-G (output)'!Q11/'BILANCIO RIC. P-G (output)'!Q9</f>
        <v>0.5</v>
      </c>
      <c r="F41" s="372"/>
      <c r="G41" s="322">
        <f>'BILANCIO PREV P-G (output)'!R11/'BILANCIO PREV P-G (output)'!R9</f>
        <v>0.50013550135501361</v>
      </c>
      <c r="H41" s="322"/>
      <c r="I41" s="323">
        <f>'BILANCIO PREV P-G (output)'!Q11/'BILANCIO PREV P-G (output)'!Q9</f>
        <v>0.49903562694163528</v>
      </c>
    </row>
    <row r="42" spans="1:10" x14ac:dyDescent="0.2">
      <c r="B42" s="59"/>
      <c r="C42" s="63"/>
      <c r="D42" s="64"/>
      <c r="E42" s="63"/>
      <c r="F42" s="64"/>
      <c r="G42" s="320"/>
      <c r="H42" s="328"/>
      <c r="I42" s="321"/>
    </row>
    <row r="43" spans="1:10" x14ac:dyDescent="0.2">
      <c r="B43" s="59" t="s">
        <v>176</v>
      </c>
      <c r="C43" s="66">
        <f>'BILANCIO RIC. P-G (output)'!G10</f>
        <v>100</v>
      </c>
      <c r="D43" s="64"/>
      <c r="E43" s="66">
        <f>'BILANCIO RIC. P-G (output)'!F10</f>
        <v>100</v>
      </c>
      <c r="F43" s="64"/>
      <c r="G43" s="327">
        <f>'SP Previsionale L-E (output)'!G10</f>
        <v>60</v>
      </c>
      <c r="H43" s="328"/>
      <c r="I43" s="335">
        <f>'SP Previsionale L-E (output)'!F10</f>
        <v>20</v>
      </c>
    </row>
    <row r="44" spans="1:10" x14ac:dyDescent="0.2">
      <c r="B44" s="59"/>
      <c r="C44" s="63"/>
      <c r="D44" s="64"/>
      <c r="E44" s="63"/>
      <c r="F44" s="64"/>
      <c r="G44" s="320"/>
      <c r="H44" s="328"/>
      <c r="I44" s="321"/>
    </row>
    <row r="45" spans="1:10" ht="13.5" thickBot="1" x14ac:dyDescent="0.25">
      <c r="B45" s="68" t="s">
        <v>177</v>
      </c>
      <c r="C45" s="69">
        <f>'BILANCIO RIC. P-G (output)'!R19/'BILANCIO RIC. P-G (output)'!G18</f>
        <v>0.2</v>
      </c>
      <c r="D45" s="70"/>
      <c r="E45" s="69">
        <f>'BILANCIO RIC. P-G (output)'!Q19/'BILANCIO RIC. P-G (output)'!F18</f>
        <v>0.2</v>
      </c>
      <c r="F45" s="70"/>
      <c r="G45" s="336">
        <f>'BILANCIO PREV P-G (output)'!R19/'BILANCIO PREV P-G (output)'!G18</f>
        <v>0.25</v>
      </c>
      <c r="H45" s="336"/>
      <c r="I45" s="337">
        <f>'BILANCIO PREV P-G (output)'!Q19/'BILANCIO PREV P-G (output)'!F18</f>
        <v>0.33333333333333331</v>
      </c>
    </row>
    <row r="48" spans="1:10" ht="13.5" thickBot="1" x14ac:dyDescent="0.25">
      <c r="A48" s="224"/>
      <c r="B48" s="224"/>
      <c r="C48" s="224"/>
      <c r="D48" s="228"/>
      <c r="E48" s="224"/>
      <c r="F48" s="228"/>
      <c r="G48" s="224"/>
      <c r="H48" s="228"/>
      <c r="I48" s="224"/>
      <c r="J48" s="224"/>
    </row>
    <row r="49" ht="13.5" thickTop="1" x14ac:dyDescent="0.2"/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9"/>
  <sheetViews>
    <sheetView workbookViewId="0">
      <selection activeCell="J48" sqref="J48"/>
    </sheetView>
  </sheetViews>
  <sheetFormatPr defaultColWidth="9.140625" defaultRowHeight="12.75" x14ac:dyDescent="0.2"/>
  <cols>
    <col min="1" max="1" width="9.140625" style="3"/>
    <col min="2" max="3" width="9.140625" style="8"/>
    <col min="4" max="5" width="9.140625" style="3"/>
    <col min="6" max="8" width="11.42578125" style="3" bestFit="1" customWidth="1"/>
    <col min="9" max="9" width="9.42578125" style="3" bestFit="1" customWidth="1"/>
    <col min="10" max="12" width="9.140625" style="3"/>
    <col min="13" max="13" width="9.85546875" style="3" bestFit="1" customWidth="1"/>
    <col min="14" max="14" width="9.140625" style="3"/>
    <col min="15" max="15" width="9.42578125" style="3" bestFit="1" customWidth="1"/>
    <col min="16" max="16" width="9.5703125" style="3" bestFit="1" customWidth="1"/>
    <col min="17" max="17" width="9.85546875" style="3" bestFit="1" customWidth="1"/>
    <col min="18" max="16384" width="9.140625" style="3"/>
  </cols>
  <sheetData>
    <row r="1" spans="1:17" s="8" customForma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s="8" customFormat="1" x14ac:dyDescent="0.2">
      <c r="A2" s="195" t="s">
        <v>191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x14ac:dyDescent="0.2">
      <c r="A3" s="153"/>
      <c r="B3" s="152"/>
      <c r="C3" s="152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7" ht="13.5" thickBot="1" x14ac:dyDescent="0.25">
      <c r="A4" s="153"/>
      <c r="B4" s="197"/>
      <c r="C4" s="152"/>
      <c r="D4" s="152"/>
      <c r="E4" s="152"/>
      <c r="F4" s="153"/>
      <c r="G4" s="155"/>
      <c r="H4" s="153"/>
      <c r="I4" s="155"/>
      <c r="J4" s="153"/>
      <c r="K4" s="153"/>
      <c r="L4" s="153"/>
      <c r="M4" s="153"/>
      <c r="N4" s="153"/>
      <c r="O4" s="153"/>
      <c r="P4" s="153"/>
      <c r="Q4" s="153"/>
    </row>
    <row r="5" spans="1:17" ht="13.5" thickBot="1" x14ac:dyDescent="0.25">
      <c r="A5" s="198"/>
      <c r="B5" s="195" t="s">
        <v>116</v>
      </c>
      <c r="C5" s="196"/>
      <c r="D5" s="196"/>
      <c r="E5" s="196"/>
      <c r="F5" s="199"/>
      <c r="G5" s="199"/>
      <c r="H5" s="200">
        <f>'Stato Patrimoniale (input)'!F4</f>
        <v>2019</v>
      </c>
      <c r="I5" s="199"/>
      <c r="J5" s="198"/>
      <c r="K5" s="199"/>
      <c r="L5" s="198"/>
      <c r="M5" s="198"/>
      <c r="N5" s="198"/>
      <c r="O5" s="198"/>
      <c r="P5" s="198"/>
      <c r="Q5" s="198"/>
    </row>
    <row r="6" spans="1:17" x14ac:dyDescent="0.2">
      <c r="A6" s="153"/>
      <c r="B6" s="197"/>
      <c r="C6" s="152"/>
      <c r="D6" s="152"/>
      <c r="E6" s="152"/>
      <c r="F6" s="155"/>
      <c r="G6" s="155"/>
      <c r="H6" s="155"/>
      <c r="I6" s="155"/>
      <c r="J6" s="153"/>
      <c r="K6" s="155"/>
      <c r="L6" s="153"/>
      <c r="M6" s="153"/>
      <c r="N6" s="153"/>
      <c r="O6" s="153"/>
      <c r="P6" s="153"/>
      <c r="Q6" s="153"/>
    </row>
    <row r="7" spans="1:17" ht="13.5" thickBot="1" x14ac:dyDescent="0.25">
      <c r="A7" s="153"/>
      <c r="B7" s="152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1:17" ht="13.5" thickBot="1" x14ac:dyDescent="0.25">
      <c r="A8" s="153"/>
      <c r="B8" s="197" t="s">
        <v>51</v>
      </c>
      <c r="C8" s="152"/>
      <c r="D8" s="153"/>
      <c r="E8" s="153"/>
      <c r="F8" s="201"/>
      <c r="G8" s="201"/>
      <c r="H8" s="157">
        <f>'CE Previsionale L-E (output)'!H10+'CE Previsionale L-E (output)'!H18</f>
        <v>1200</v>
      </c>
      <c r="I8" s="153"/>
      <c r="J8" s="153"/>
      <c r="K8" s="197" t="s">
        <v>41</v>
      </c>
      <c r="L8" s="152"/>
      <c r="M8" s="153"/>
      <c r="N8" s="153"/>
      <c r="O8" s="155"/>
      <c r="P8" s="155"/>
      <c r="Q8" s="202">
        <f>-('CE Previsionale L-E (output)'!Q18)</f>
        <v>-60</v>
      </c>
    </row>
    <row r="9" spans="1:17" ht="13.5" thickBot="1" x14ac:dyDescent="0.25">
      <c r="A9" s="153"/>
      <c r="B9" s="152"/>
      <c r="C9" s="152"/>
      <c r="D9" s="153"/>
      <c r="E9" s="153"/>
      <c r="F9" s="201"/>
      <c r="G9" s="201"/>
      <c r="H9" s="201"/>
      <c r="I9" s="153"/>
      <c r="J9" s="153"/>
      <c r="K9" s="153"/>
      <c r="L9" s="153"/>
      <c r="M9" s="153"/>
      <c r="N9" s="153"/>
      <c r="O9" s="153"/>
      <c r="P9" s="153"/>
      <c r="Q9" s="153"/>
    </row>
    <row r="10" spans="1:17" ht="13.5" thickBot="1" x14ac:dyDescent="0.25">
      <c r="A10" s="153"/>
      <c r="B10" s="197" t="s">
        <v>49</v>
      </c>
      <c r="C10" s="152"/>
      <c r="D10" s="153"/>
      <c r="E10" s="153"/>
      <c r="F10" s="201"/>
      <c r="G10" s="201"/>
      <c r="H10" s="157">
        <f>'CE Previsionale L-E (output)'!H14+'CE Previsionale L-E (output)'!H16+'CE Previsionale L-E (output)'!H22-'CE Previsionale L-E (output)'!H12+'CE Previsionale L-E (output)'!H28</f>
        <v>960</v>
      </c>
      <c r="I10" s="153"/>
      <c r="J10" s="153"/>
      <c r="K10" s="154" t="s">
        <v>57</v>
      </c>
      <c r="L10" s="153"/>
      <c r="M10" s="153"/>
      <c r="N10" s="153"/>
      <c r="O10" s="201"/>
      <c r="P10" s="201"/>
      <c r="Q10" s="157">
        <f>'CE Previsionale L-E (output)'!Q16</f>
        <v>0</v>
      </c>
    </row>
    <row r="11" spans="1:17" ht="13.5" thickBot="1" x14ac:dyDescent="0.25">
      <c r="A11" s="153"/>
      <c r="B11" s="152"/>
      <c r="C11" s="152"/>
      <c r="D11" s="153"/>
      <c r="E11" s="153"/>
      <c r="F11" s="201"/>
      <c r="G11" s="201"/>
      <c r="H11" s="201"/>
      <c r="I11" s="153"/>
      <c r="J11" s="153"/>
      <c r="K11" s="153"/>
      <c r="L11" s="153"/>
      <c r="M11" s="153"/>
      <c r="N11" s="153"/>
      <c r="O11" s="153"/>
      <c r="P11" s="153"/>
      <c r="Q11" s="153"/>
    </row>
    <row r="12" spans="1:17" ht="13.5" thickBot="1" x14ac:dyDescent="0.25">
      <c r="A12" s="153"/>
      <c r="B12" s="197" t="s">
        <v>33</v>
      </c>
      <c r="C12" s="197"/>
      <c r="D12" s="197"/>
      <c r="E12" s="197"/>
      <c r="F12" s="183"/>
      <c r="G12" s="183"/>
      <c r="H12" s="203">
        <f>H8-H10</f>
        <v>240</v>
      </c>
      <c r="I12" s="153"/>
      <c r="J12" s="153"/>
      <c r="K12" s="197" t="s">
        <v>43</v>
      </c>
      <c r="L12" s="197"/>
      <c r="M12" s="197"/>
      <c r="N12" s="197"/>
      <c r="O12" s="201"/>
      <c r="P12" s="201"/>
      <c r="Q12" s="157">
        <f>'CE Previsionale L-E (output)'!Q22+'CE Previsionale L-E (output)'!Q28</f>
        <v>0</v>
      </c>
    </row>
    <row r="13" spans="1:17" ht="13.5" thickBot="1" x14ac:dyDescent="0.25">
      <c r="A13" s="153"/>
      <c r="B13" s="152"/>
      <c r="C13" s="152"/>
      <c r="D13" s="153"/>
      <c r="E13" s="153"/>
      <c r="F13" s="201"/>
      <c r="G13" s="201"/>
      <c r="H13" s="201"/>
      <c r="I13" s="153"/>
      <c r="J13" s="153"/>
      <c r="K13" s="155"/>
      <c r="L13" s="153"/>
      <c r="M13" s="153"/>
      <c r="N13" s="153"/>
      <c r="O13" s="153"/>
      <c r="P13" s="153"/>
      <c r="Q13" s="153"/>
    </row>
    <row r="14" spans="1:17" ht="13.5" thickBot="1" x14ac:dyDescent="0.25">
      <c r="A14" s="153"/>
      <c r="B14" s="197"/>
      <c r="C14" s="197"/>
      <c r="D14" s="152"/>
      <c r="E14" s="152"/>
      <c r="F14" s="201"/>
      <c r="G14" s="201"/>
      <c r="H14" s="201"/>
      <c r="I14" s="153"/>
      <c r="J14" s="153"/>
      <c r="K14" s="197" t="s">
        <v>58</v>
      </c>
      <c r="L14" s="197"/>
      <c r="M14" s="153"/>
      <c r="N14" s="153"/>
      <c r="O14" s="155"/>
      <c r="P14" s="155"/>
      <c r="Q14" s="202">
        <f>IF(('SP Previsionale L-E (output)'!Q14+'SP Previsionale L-E (output)'!Q16-'SP Previsionale L-E (output)'!R14-'SP Previsionale L-E (output)'!R16)&gt;0,0,('SP Previsionale L-E (output)'!Q14+'SP Previsionale L-E (output)'!Q16-'SP Previsionale L-E (output)'!R14-'SP Previsionale L-E (output)'!R16))</f>
        <v>0</v>
      </c>
    </row>
    <row r="15" spans="1:17" ht="13.5" thickBot="1" x14ac:dyDescent="0.25">
      <c r="A15" s="153"/>
      <c r="B15" s="152"/>
      <c r="C15" s="152"/>
      <c r="D15" s="153"/>
      <c r="E15" s="153"/>
      <c r="F15" s="201"/>
      <c r="G15" s="201"/>
      <c r="H15" s="201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1:17" ht="13.5" thickBot="1" x14ac:dyDescent="0.25">
      <c r="A16" s="153"/>
      <c r="B16" s="197" t="s">
        <v>50</v>
      </c>
      <c r="C16" s="152"/>
      <c r="D16" s="153"/>
      <c r="E16" s="153"/>
      <c r="F16" s="201"/>
      <c r="G16" s="201"/>
      <c r="H16" s="157">
        <f>-('SP Previsionale L-E (output)'!H32-'SP Previsionale L-E (output)'!Q8-('SP Previsionale L-E (output)'!Q32-'SP Previsionale L-E (output)'!Q24)-('SP Previsionale L-E (output)'!Q12-'SP Previsionale L-E (output)'!Q14-'SP Previsionale L-E (output)'!Q16)-('SP Previsionale L-E (output)'!I32-'SP Previsionale L-E (output)'!R8-('SP Previsionale L-E (output)'!R32-'SP Previsionale L-E (output)'!R24)-('SP Previsionale L-E (output)'!R12-'SP Previsionale L-E (output)'!R14-'SP Previsionale L-E (output)'!R16)))+('SP Previsionale L-E (output)'!Q10-'SP Previsionale L-E (output)'!R10)</f>
        <v>0</v>
      </c>
      <c r="I16" s="153"/>
      <c r="J16" s="153"/>
      <c r="K16" s="197" t="s">
        <v>59</v>
      </c>
      <c r="L16" s="153"/>
      <c r="M16" s="153"/>
      <c r="N16" s="153"/>
      <c r="O16" s="155"/>
      <c r="P16" s="155"/>
      <c r="Q16" s="202">
        <f>IF(('SP Previsionale L-E (output)'!Q6-('SP Previsionale L-E (output)'!R6+'CE Previsionale L-E (output)'!Q30))&lt;0,('SP Previsionale L-E (output)'!Q6-('SP Previsionale L-E (output)'!R6+'CE Previsionale L-E (output)'!Q30)),0)</f>
        <v>-30</v>
      </c>
    </row>
    <row r="17" spans="1:17" ht="13.5" thickBot="1" x14ac:dyDescent="0.25">
      <c r="A17" s="153"/>
      <c r="B17" s="197"/>
      <c r="C17" s="152"/>
      <c r="D17" s="153"/>
      <c r="E17" s="153"/>
      <c r="F17" s="201"/>
      <c r="G17" s="201"/>
      <c r="H17" s="201"/>
      <c r="I17" s="153"/>
      <c r="J17" s="153"/>
      <c r="K17" s="197"/>
      <c r="L17" s="153"/>
      <c r="M17" s="153"/>
      <c r="N17" s="153"/>
      <c r="O17" s="155"/>
      <c r="P17" s="155"/>
      <c r="Q17" s="155"/>
    </row>
    <row r="18" spans="1:17" ht="13.5" thickBot="1" x14ac:dyDescent="0.25">
      <c r="A18" s="153"/>
      <c r="B18" s="197"/>
      <c r="C18" s="152"/>
      <c r="D18" s="153"/>
      <c r="E18" s="153"/>
      <c r="F18" s="201"/>
      <c r="G18" s="201"/>
      <c r="H18" s="201"/>
      <c r="I18" s="153"/>
      <c r="J18" s="153"/>
      <c r="K18" s="154" t="s">
        <v>60</v>
      </c>
      <c r="L18" s="154"/>
      <c r="M18" s="154"/>
      <c r="N18" s="154"/>
      <c r="O18" s="204"/>
      <c r="P18" s="204"/>
      <c r="Q18" s="205">
        <f>H26+H32+Q8+Q10+Q12+Q14+Q16</f>
        <v>-210</v>
      </c>
    </row>
    <row r="19" spans="1:17" ht="13.5" thickBot="1" x14ac:dyDescent="0.25">
      <c r="A19" s="153"/>
      <c r="B19" s="152"/>
      <c r="C19" s="152"/>
      <c r="D19" s="153"/>
      <c r="E19" s="153"/>
      <c r="F19" s="201"/>
      <c r="G19" s="201"/>
      <c r="H19" s="201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1:17" ht="13.5" thickBot="1" x14ac:dyDescent="0.25">
      <c r="A20" s="153"/>
      <c r="B20" s="197" t="s">
        <v>52</v>
      </c>
      <c r="C20" s="197"/>
      <c r="D20" s="197"/>
      <c r="E20" s="197"/>
      <c r="F20" s="183"/>
      <c r="G20" s="183"/>
      <c r="H20" s="203">
        <f>(H12-H14)+H16+H18</f>
        <v>240</v>
      </c>
      <c r="I20" s="153"/>
      <c r="J20" s="153"/>
      <c r="K20" s="154" t="s">
        <v>62</v>
      </c>
      <c r="L20" s="154"/>
      <c r="M20" s="154"/>
      <c r="N20" s="154"/>
      <c r="O20" s="204"/>
      <c r="P20" s="204"/>
      <c r="Q20" s="205">
        <f>-(Q18+H24)</f>
        <v>0</v>
      </c>
    </row>
    <row r="21" spans="1:17" ht="13.5" thickBot="1" x14ac:dyDescent="0.25">
      <c r="A21" s="153"/>
      <c r="B21" s="152"/>
      <c r="C21" s="152"/>
      <c r="D21" s="153"/>
      <c r="E21" s="153"/>
      <c r="F21" s="201"/>
      <c r="G21" s="201"/>
      <c r="H21" s="201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7" ht="13.5" thickBot="1" x14ac:dyDescent="0.25">
      <c r="A22" s="153"/>
      <c r="B22" s="197" t="s">
        <v>45</v>
      </c>
      <c r="C22" s="152"/>
      <c r="D22" s="153"/>
      <c r="E22" s="153"/>
      <c r="F22" s="183"/>
      <c r="G22" s="183"/>
      <c r="H22" s="203">
        <f>-'CE Previsionale L-E (output)'!Q26</f>
        <v>-30</v>
      </c>
      <c r="I22" s="153"/>
      <c r="J22" s="153"/>
      <c r="K22" s="154" t="s">
        <v>63</v>
      </c>
      <c r="L22" s="153"/>
      <c r="M22" s="153"/>
      <c r="N22" s="153"/>
      <c r="O22" s="153"/>
      <c r="P22" s="153"/>
      <c r="Q22" s="200">
        <f>IF(('SP Previsionale L-E (output)'!Q14+'SP Previsionale L-E (output)'!Q16-'SP Previsionale L-E (output)'!R14-'SP Previsionale L-E (output)'!R16)&gt;0,('SP Previsionale L-E (output)'!Q14+'SP Previsionale L-E (output)'!Q16-'SP Previsionale L-E (output)'!R14-'SP Previsionale L-E (output)'!R16),0)</f>
        <v>0</v>
      </c>
    </row>
    <row r="23" spans="1:17" ht="13.5" thickBot="1" x14ac:dyDescent="0.25">
      <c r="A23" s="153"/>
      <c r="B23" s="197"/>
      <c r="C23" s="152"/>
      <c r="D23" s="153"/>
      <c r="E23" s="153"/>
      <c r="F23" s="201"/>
      <c r="G23" s="201"/>
      <c r="H23" s="201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1:17" ht="13.5" thickBot="1" x14ac:dyDescent="0.25">
      <c r="A24" s="153"/>
      <c r="B24" s="197" t="s">
        <v>53</v>
      </c>
      <c r="C24" s="197"/>
      <c r="D24" s="197"/>
      <c r="E24" s="197"/>
      <c r="F24" s="183"/>
      <c r="G24" s="183"/>
      <c r="H24" s="203">
        <f>H20+H22</f>
        <v>210</v>
      </c>
      <c r="I24" s="153"/>
      <c r="J24" s="153"/>
      <c r="K24" s="154" t="s">
        <v>64</v>
      </c>
      <c r="L24" s="153"/>
      <c r="M24" s="153"/>
      <c r="N24" s="153"/>
      <c r="O24" s="153"/>
      <c r="P24" s="153"/>
      <c r="Q24" s="200">
        <f>IF(('SP Previsionale L-E (output)'!Q6-('SP Previsionale L-E (output)'!R6+'CE Previsionale L-E (output)'!Q30))&lt;0,0,('SP Previsionale L-E (output)'!Q6-('SP Previsionale L-E (output)'!R6+'CE Previsionale L-E (output)'!Q30)))</f>
        <v>0</v>
      </c>
    </row>
    <row r="25" spans="1:17" ht="13.5" thickBot="1" x14ac:dyDescent="0.25">
      <c r="A25" s="153"/>
      <c r="B25" s="197"/>
      <c r="C25" s="152"/>
      <c r="D25" s="153"/>
      <c r="E25" s="153"/>
      <c r="F25" s="201"/>
      <c r="G25" s="201"/>
      <c r="H25" s="201"/>
      <c r="I25" s="153"/>
      <c r="J25" s="153"/>
      <c r="K25" s="153"/>
      <c r="L25" s="153"/>
      <c r="M25" s="153"/>
      <c r="N25" s="153"/>
      <c r="O25" s="153"/>
      <c r="P25" s="153"/>
      <c r="Q25" s="153"/>
    </row>
    <row r="26" spans="1:17" ht="13.5" thickBot="1" x14ac:dyDescent="0.25">
      <c r="A26" s="153"/>
      <c r="B26" s="197" t="s">
        <v>61</v>
      </c>
      <c r="C26" s="152"/>
      <c r="D26" s="153"/>
      <c r="E26" s="153"/>
      <c r="F26" s="201"/>
      <c r="G26" s="201"/>
      <c r="H26" s="157">
        <f>-('SP Previsionale L-E (output)'!H20-'SP Previsionale L-E (output)'!I20+'CE Previsionale L-E (output)'!H26+'CE Previsionale L-E (output)'!Q12)</f>
        <v>-120</v>
      </c>
      <c r="I26" s="153"/>
      <c r="J26" s="153"/>
      <c r="K26" s="154" t="s">
        <v>65</v>
      </c>
      <c r="L26" s="154"/>
      <c r="M26" s="154"/>
      <c r="N26" s="154"/>
      <c r="O26" s="204"/>
      <c r="P26" s="204"/>
      <c r="Q26" s="205">
        <f>Q22+Q24</f>
        <v>0</v>
      </c>
    </row>
    <row r="27" spans="1:17" ht="13.5" thickBot="1" x14ac:dyDescent="0.25">
      <c r="A27" s="153"/>
      <c r="B27" s="197"/>
      <c r="C27" s="152"/>
      <c r="D27" s="153"/>
      <c r="E27" s="153"/>
      <c r="F27" s="201"/>
      <c r="G27" s="201"/>
      <c r="H27" s="201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1:17" ht="13.5" thickBot="1" x14ac:dyDescent="0.25">
      <c r="A28" s="153"/>
      <c r="B28" s="153"/>
      <c r="C28" s="197" t="s">
        <v>55</v>
      </c>
      <c r="D28" s="153"/>
      <c r="E28" s="153"/>
      <c r="F28" s="201"/>
      <c r="G28" s="201"/>
      <c r="H28" s="157">
        <f>-('SP Previsionale L-E (output)'!H12-'SP Previsionale L-E (output)'!I12+'CE Previsionale L-E (output)'!H26)</f>
        <v>-80</v>
      </c>
      <c r="I28" s="153"/>
      <c r="J28" s="153"/>
      <c r="K28" s="154" t="s">
        <v>66</v>
      </c>
      <c r="L28" s="153"/>
      <c r="M28" s="153"/>
      <c r="N28" s="153"/>
      <c r="O28" s="204"/>
      <c r="P28" s="204"/>
      <c r="Q28" s="205">
        <f>Q20-Q26</f>
        <v>0</v>
      </c>
    </row>
    <row r="29" spans="1:17" ht="13.5" thickBot="1" x14ac:dyDescent="0.25">
      <c r="A29" s="153"/>
      <c r="B29" s="197"/>
      <c r="C29" s="152"/>
      <c r="D29" s="153"/>
      <c r="E29" s="153"/>
      <c r="F29" s="201"/>
      <c r="G29" s="201"/>
      <c r="H29" s="201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7" ht="13.5" thickBot="1" x14ac:dyDescent="0.25">
      <c r="A30" s="153"/>
      <c r="B30" s="153"/>
      <c r="C30" s="197" t="s">
        <v>54</v>
      </c>
      <c r="D30" s="153"/>
      <c r="E30" s="153"/>
      <c r="F30" s="201"/>
      <c r="G30" s="201"/>
      <c r="H30" s="157">
        <f>-('SP Previsionale L-E (output)'!H10-'SP Previsionale L-E (output)'!I10+'CE Previsionale L-E (output)'!Q12)</f>
        <v>-40</v>
      </c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7" ht="13.5" thickBot="1" x14ac:dyDescent="0.25">
      <c r="A31" s="153"/>
      <c r="B31" s="197"/>
      <c r="C31" s="152"/>
      <c r="D31" s="153"/>
      <c r="E31" s="153"/>
      <c r="F31" s="201"/>
      <c r="G31" s="201"/>
      <c r="H31" s="201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1:17" ht="13.5" thickBot="1" x14ac:dyDescent="0.25">
      <c r="A32" s="153"/>
      <c r="B32" s="197" t="s">
        <v>56</v>
      </c>
      <c r="C32" s="152"/>
      <c r="D32" s="153"/>
      <c r="E32" s="153"/>
      <c r="F32" s="201"/>
      <c r="G32" s="201"/>
      <c r="H32" s="157">
        <f>'CE Previsionale L-E (output)'!Q10</f>
        <v>0</v>
      </c>
      <c r="I32" s="153"/>
      <c r="J32" s="153"/>
      <c r="K32" s="153" t="s">
        <v>67</v>
      </c>
      <c r="L32" s="153"/>
      <c r="M32" s="153"/>
      <c r="N32" s="153"/>
      <c r="O32" s="204"/>
      <c r="P32" s="155"/>
      <c r="Q32" s="202">
        <f>'SP Previsionale L-E (output)'!Q24-'SP Previsionale L-E (output)'!R24</f>
        <v>0</v>
      </c>
    </row>
    <row r="33" spans="1:17" x14ac:dyDescent="0.2">
      <c r="A33" s="153"/>
      <c r="B33" s="152"/>
      <c r="C33" s="152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7" ht="13.5" thickBot="1" x14ac:dyDescent="0.25">
      <c r="A34" s="206"/>
      <c r="B34" s="207"/>
      <c r="C34" s="207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</row>
    <row r="35" spans="1:17" ht="13.5" thickTop="1" x14ac:dyDescent="0.2">
      <c r="A35" s="156"/>
      <c r="B35" s="208"/>
      <c r="C35" s="208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209"/>
      <c r="Q35" s="156"/>
    </row>
    <row r="36" spans="1:17" x14ac:dyDescent="0.2">
      <c r="K36" s="18"/>
    </row>
    <row r="37" spans="1:17" x14ac:dyDescent="0.2">
      <c r="H37" s="18"/>
      <c r="I37" s="18"/>
      <c r="K37" s="18"/>
    </row>
    <row r="38" spans="1:17" x14ac:dyDescent="0.2">
      <c r="H38" s="18"/>
      <c r="K38" s="18"/>
    </row>
    <row r="39" spans="1:17" x14ac:dyDescent="0.2">
      <c r="K39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3"/>
  <dimension ref="A1:T48"/>
  <sheetViews>
    <sheetView view="pageBreakPreview" topLeftCell="A2" zoomScale="80" zoomScaleNormal="80" zoomScaleSheetLayoutView="80" workbookViewId="0">
      <selection activeCell="U34" sqref="U34"/>
    </sheetView>
  </sheetViews>
  <sheetFormatPr defaultColWidth="9.140625" defaultRowHeight="12.75" x14ac:dyDescent="0.2"/>
  <cols>
    <col min="1" max="1" width="9.140625" style="3"/>
    <col min="2" max="3" width="9.140625" style="8"/>
    <col min="4" max="5" width="9.140625" style="3"/>
    <col min="6" max="8" width="13.7109375" style="3" bestFit="1" customWidth="1"/>
    <col min="9" max="9" width="9.42578125" style="3" bestFit="1" customWidth="1"/>
    <col min="10" max="12" width="9.140625" style="3"/>
    <col min="13" max="13" width="9.85546875" style="3" bestFit="1" customWidth="1"/>
    <col min="14" max="14" width="9.140625" style="3"/>
    <col min="15" max="15" width="9.42578125" style="3" bestFit="1" customWidth="1"/>
    <col min="16" max="16" width="9.5703125" style="3" bestFit="1" customWidth="1"/>
    <col min="17" max="17" width="9.85546875" style="3" bestFit="1" customWidth="1"/>
    <col min="18" max="16384" width="9.140625" style="3"/>
  </cols>
  <sheetData>
    <row r="1" spans="1:20" s="8" customFormat="1" x14ac:dyDescent="0.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</row>
    <row r="2" spans="1:20" s="8" customFormat="1" ht="26.25" x14ac:dyDescent="0.4">
      <c r="A2" s="214" t="s">
        <v>191</v>
      </c>
      <c r="B2" s="215"/>
      <c r="C2" s="215"/>
      <c r="D2" s="215"/>
      <c r="E2" s="215"/>
      <c r="F2" s="215"/>
      <c r="G2" s="215"/>
      <c r="H2" s="215"/>
      <c r="I2" s="215"/>
      <c r="J2" s="215"/>
      <c r="K2" s="214"/>
      <c r="L2" s="215"/>
      <c r="M2" s="215"/>
      <c r="N2" s="215"/>
      <c r="O2" s="215"/>
      <c r="P2" s="215"/>
      <c r="Q2" s="215"/>
      <c r="R2" s="215"/>
    </row>
    <row r="4" spans="1:20" ht="13.5" thickBot="1" x14ac:dyDescent="0.25">
      <c r="B4" s="6"/>
      <c r="D4" s="8"/>
      <c r="E4" s="8"/>
      <c r="G4" s="18"/>
      <c r="I4" s="18"/>
    </row>
    <row r="5" spans="1:20" s="4" customFormat="1" ht="13.5" thickBot="1" x14ac:dyDescent="0.25">
      <c r="A5" s="386"/>
      <c r="B5" s="7" t="s">
        <v>116</v>
      </c>
      <c r="C5" s="7"/>
      <c r="D5" s="7"/>
      <c r="E5" s="7"/>
      <c r="F5" s="126">
        <f>G5+1</f>
        <v>2021</v>
      </c>
      <c r="G5" s="126">
        <f>H5+1</f>
        <v>2020</v>
      </c>
      <c r="H5" s="126">
        <f>'Stato Patrimoniale (input)'!F4</f>
        <v>2019</v>
      </c>
      <c r="I5" s="387"/>
      <c r="J5" s="386"/>
      <c r="K5" s="387"/>
      <c r="L5" s="386"/>
      <c r="M5" s="386"/>
      <c r="N5" s="386"/>
      <c r="O5" s="126">
        <f>F5</f>
        <v>2021</v>
      </c>
      <c r="P5" s="126">
        <f>G5</f>
        <v>2020</v>
      </c>
      <c r="Q5" s="126">
        <f>H5</f>
        <v>2019</v>
      </c>
    </row>
    <row r="6" spans="1:20" x14ac:dyDescent="0.2">
      <c r="B6" s="6"/>
      <c r="D6" s="8"/>
      <c r="E6" s="8"/>
      <c r="F6" s="25"/>
      <c r="G6" s="25"/>
      <c r="H6" s="25"/>
      <c r="I6" s="18"/>
      <c r="K6" s="18"/>
      <c r="O6" s="21"/>
      <c r="P6" s="21"/>
      <c r="Q6" s="21"/>
    </row>
    <row r="7" spans="1:20" ht="13.5" thickBot="1" x14ac:dyDescent="0.25">
      <c r="F7" s="21"/>
      <c r="G7" s="21"/>
      <c r="H7" s="21"/>
      <c r="O7" s="21"/>
      <c r="P7" s="21"/>
      <c r="Q7" s="21"/>
    </row>
    <row r="8" spans="1:20" ht="13.5" thickBot="1" x14ac:dyDescent="0.25">
      <c r="B8" s="6" t="s">
        <v>51</v>
      </c>
      <c r="F8" s="16">
        <f>'CE Previsionale L-E (output)'!F10+'CE Previsionale L-E (output)'!F18</f>
        <v>1260.75</v>
      </c>
      <c r="G8" s="16">
        <f>'CE Previsionale L-E (output)'!G10+'CE Previsionale L-E (output)'!G18</f>
        <v>1230</v>
      </c>
      <c r="H8" s="16">
        <f>'CE Previsionale L-E (output)'!H10+'CE Previsionale L-E (output)'!H18</f>
        <v>1200</v>
      </c>
      <c r="K8" s="6" t="s">
        <v>41</v>
      </c>
      <c r="L8" s="8"/>
      <c r="O8" s="24">
        <f>-('CE Previsionale L-E (output)'!O18)</f>
        <v>-23.198445833333324</v>
      </c>
      <c r="P8" s="24">
        <f>-('CE Previsionale L-E (output)'!P18)</f>
        <v>-52.083749999999995</v>
      </c>
      <c r="Q8" s="24">
        <f>-('CE Previsionale L-E (output)'!Q18)</f>
        <v>-60</v>
      </c>
    </row>
    <row r="9" spans="1:20" ht="13.5" thickBot="1" x14ac:dyDescent="0.25">
      <c r="F9" s="19"/>
      <c r="G9" s="19"/>
      <c r="H9" s="19"/>
      <c r="O9" s="21"/>
      <c r="P9" s="21"/>
      <c r="Q9" s="21"/>
    </row>
    <row r="10" spans="1:20" ht="13.5" thickBot="1" x14ac:dyDescent="0.25">
      <c r="B10" s="6" t="s">
        <v>49</v>
      </c>
      <c r="F10" s="16">
        <f>'CE Previsionale L-E (output)'!F14+'CE Previsionale L-E (output)'!F16+'CE Previsionale L-E (output)'!F22-'CE Previsionale L-E (output)'!F12</f>
        <v>1007.3841666666667</v>
      </c>
      <c r="G10" s="16">
        <f>'CE Previsionale L-E (output)'!G14+'CE Previsionale L-E (output)'!G16+'CE Previsionale L-E (output)'!G22-'CE Previsionale L-E (output)'!G12</f>
        <v>984.16666666666674</v>
      </c>
      <c r="H10" s="16">
        <f>'CE Previsionale L-E (output)'!H14+'CE Previsionale L-E (output)'!H16+'CE Previsionale L-E (output)'!H22-'CE Previsionale L-E (output)'!H12</f>
        <v>960</v>
      </c>
      <c r="K10" s="4" t="s">
        <v>57</v>
      </c>
      <c r="O10" s="16">
        <f>'CE Previsionale L-E (output)'!O16</f>
        <v>0</v>
      </c>
      <c r="P10" s="16">
        <f>'CE Previsionale L-E (output)'!P16</f>
        <v>0</v>
      </c>
      <c r="Q10" s="16">
        <f>'CE Previsionale L-E (output)'!Q16</f>
        <v>0</v>
      </c>
    </row>
    <row r="11" spans="1:20" ht="13.5" thickBot="1" x14ac:dyDescent="0.25">
      <c r="F11" s="19"/>
      <c r="G11" s="19"/>
      <c r="H11" s="19"/>
      <c r="O11" s="21"/>
      <c r="P11" s="21"/>
      <c r="Q11" s="21"/>
    </row>
    <row r="12" spans="1:20" ht="13.5" thickBot="1" x14ac:dyDescent="0.25">
      <c r="B12" s="9" t="s">
        <v>33</v>
      </c>
      <c r="C12" s="9"/>
      <c r="D12" s="9"/>
      <c r="E12" s="9"/>
      <c r="F12" s="341">
        <f>F8-F10</f>
        <v>253.36583333333328</v>
      </c>
      <c r="G12" s="341">
        <f>G8-G10</f>
        <v>245.83333333333326</v>
      </c>
      <c r="H12" s="341">
        <f>H8-H10</f>
        <v>240</v>
      </c>
      <c r="K12" s="6" t="s">
        <v>43</v>
      </c>
      <c r="L12" s="6"/>
      <c r="M12" s="6"/>
      <c r="N12" s="6"/>
      <c r="O12" s="16">
        <f>'CE Previsionale L-E (output)'!O22+'CE Previsionale L-E (output)'!O28</f>
        <v>0</v>
      </c>
      <c r="P12" s="16">
        <f>'CE Previsionale L-E (output)'!P22+'CE Previsionale L-E (output)'!P28</f>
        <v>0</v>
      </c>
      <c r="Q12" s="16">
        <f>'CE Previsionale L-E (output)'!Q22+'CE Previsionale L-E (output)'!Q28</f>
        <v>0</v>
      </c>
    </row>
    <row r="13" spans="1:20" ht="13.5" thickBot="1" x14ac:dyDescent="0.25">
      <c r="F13" s="19"/>
      <c r="G13" s="19"/>
      <c r="H13" s="19"/>
      <c r="K13" s="18"/>
      <c r="O13" s="21"/>
      <c r="P13" s="21"/>
      <c r="Q13" s="21"/>
    </row>
    <row r="14" spans="1:20" ht="13.5" thickBot="1" x14ac:dyDescent="0.25">
      <c r="B14" s="6" t="s">
        <v>225</v>
      </c>
      <c r="F14" s="16">
        <f>'QUADRO SINT PREV (output)'!I14-'QUADRO SINT PREV (output)'!G14</f>
        <v>3.3549173611108927</v>
      </c>
      <c r="G14" s="16">
        <f>'QUADRO SINT PREV (output)'!G14-'QUADRO SINT PREV (output)'!E14</f>
        <v>-24.916458333333367</v>
      </c>
      <c r="H14" s="16">
        <f>'QUADRO SINT PREV (output)'!E14-'QUADRO SINT PREV (output)'!C14</f>
        <v>0</v>
      </c>
      <c r="K14" s="6" t="s">
        <v>58</v>
      </c>
      <c r="L14" s="6"/>
      <c r="O14" s="24">
        <f>-('Parametri Previsione (input)'!M46+'Parametri Previsione (input)'!N50+'Parametri Previsione (input)'!N56)</f>
        <v>-20</v>
      </c>
      <c r="P14" s="24">
        <f>-('Parametri Previsione (input)'!M46+'Parametri Previsione (input)'!M50+'Parametri Previsione (input)'!M56)</f>
        <v>-20</v>
      </c>
      <c r="Q14" s="24">
        <f>IF(('SP Previsionale L-E (output)'!Q14+'SP Previsionale L-E (output)'!Q16-'SP Previsionale L-E (output)'!R14-'SP Previsionale L-E (output)'!R16)&gt;0,0,('SP Previsionale L-E (output)'!Q14+'SP Previsionale L-E (output)'!Q16-'SP Previsionale L-E (output)'!R14-'SP Previsionale L-E (output)'!R16))</f>
        <v>0</v>
      </c>
    </row>
    <row r="15" spans="1:20" ht="13.5" thickBot="1" x14ac:dyDescent="0.25">
      <c r="B15" s="6"/>
      <c r="F15" s="19"/>
      <c r="G15" s="19"/>
      <c r="H15" s="19"/>
      <c r="O15" s="21"/>
      <c r="P15" s="21"/>
      <c r="Q15" s="21"/>
    </row>
    <row r="16" spans="1:20" ht="13.5" thickBot="1" x14ac:dyDescent="0.25">
      <c r="B16" s="9" t="s">
        <v>52</v>
      </c>
      <c r="C16" s="9"/>
      <c r="D16" s="9"/>
      <c r="E16" s="9"/>
      <c r="F16" s="341">
        <f>F12-F14</f>
        <v>250.01091597222239</v>
      </c>
      <c r="G16" s="383">
        <f>G12-G14</f>
        <v>270.74979166666662</v>
      </c>
      <c r="H16" s="341">
        <f>H12-H14</f>
        <v>240</v>
      </c>
      <c r="K16" s="6" t="s">
        <v>59</v>
      </c>
      <c r="O16" s="24">
        <f>IF(('SP Previsionale L-E (output)'!O6-('SP Previsionale L-E (output)'!P6+'CE Previsionale L-E (output)'!O30))&lt;0,('SP Previsionale L-E (output)'!O6-('SP Previsionale L-E (output)'!P6+'CE Previsionale L-E (output)'!O30)),0)</f>
        <v>0</v>
      </c>
      <c r="P16" s="24">
        <f>IF(('SP Previsionale L-E (output)'!P6-('SP Previsionale L-E (output)'!Q6+'CE Previsionale L-E (output)'!P30))&lt;0,('SP Previsionale L-E (output)'!P6-('SP Previsionale L-E (output)'!Q6+'CE Previsionale L-E (output)'!P30)),0)</f>
        <v>0</v>
      </c>
      <c r="Q16" s="24">
        <f>IF(('SP Previsionale L-E (output)'!Q6-('SP Previsionale L-E (output)'!R6+'CE Previsionale L-E (output)'!Q30))&lt;0,('SP Previsionale L-E (output)'!Q6-('SP Previsionale L-E (output)'!R6+'CE Previsionale L-E (output)'!Q30)),0)</f>
        <v>-30</v>
      </c>
      <c r="S16" s="18"/>
      <c r="T16" s="18"/>
    </row>
    <row r="17" spans="2:17" ht="13.5" thickBot="1" x14ac:dyDescent="0.25">
      <c r="F17" s="19"/>
      <c r="G17" s="19"/>
      <c r="H17" s="19"/>
      <c r="K17" s="6"/>
      <c r="O17" s="25"/>
      <c r="P17" s="25"/>
      <c r="Q17" s="25"/>
    </row>
    <row r="18" spans="2:17" ht="13.5" thickBot="1" x14ac:dyDescent="0.25">
      <c r="B18" s="6" t="s">
        <v>45</v>
      </c>
      <c r="F18" s="17">
        <f>-'CE Previsionale L-E (output)'!O26</f>
        <v>-55.08369375000008</v>
      </c>
      <c r="G18" s="17">
        <f>-'CE Previsionale L-E (output)'!P26</f>
        <v>-36.874791666666631</v>
      </c>
      <c r="H18" s="17">
        <f>-'CE Previsionale L-E (output)'!Q26</f>
        <v>-30</v>
      </c>
      <c r="K18" s="2" t="s">
        <v>60</v>
      </c>
      <c r="L18" s="2"/>
      <c r="M18" s="2"/>
      <c r="N18" s="2"/>
      <c r="O18" s="342">
        <f>F22+F28+O8+O10+O12+O14+O16</f>
        <v>-43.198445833333324</v>
      </c>
      <c r="P18" s="342">
        <f>G22+G28+P8+P10+P12+P14+P16</f>
        <v>-72.083749999999995</v>
      </c>
      <c r="Q18" s="342">
        <f>H22+H28+Q8+Q10+Q12+Q14+Q16</f>
        <v>-210</v>
      </c>
    </row>
    <row r="19" spans="2:17" ht="13.5" thickBot="1" x14ac:dyDescent="0.25">
      <c r="B19" s="6"/>
      <c r="F19" s="19"/>
      <c r="G19" s="19"/>
      <c r="H19" s="19"/>
      <c r="O19" s="21"/>
      <c r="P19" s="21"/>
      <c r="Q19" s="21"/>
    </row>
    <row r="20" spans="2:17" ht="13.5" thickBot="1" x14ac:dyDescent="0.25">
      <c r="B20" s="9" t="s">
        <v>53</v>
      </c>
      <c r="C20" s="9"/>
      <c r="D20" s="9"/>
      <c r="E20" s="9"/>
      <c r="F20" s="341">
        <f>F16+F18</f>
        <v>194.92722222222233</v>
      </c>
      <c r="G20" s="341">
        <f>G16+G18</f>
        <v>233.875</v>
      </c>
      <c r="H20" s="341">
        <f>H16+H18</f>
        <v>210</v>
      </c>
      <c r="K20" s="2" t="s">
        <v>62</v>
      </c>
      <c r="L20" s="2"/>
      <c r="M20" s="2"/>
      <c r="N20" s="2"/>
      <c r="O20" s="342">
        <f>-(O18+F20)</f>
        <v>-151.728776388889</v>
      </c>
      <c r="P20" s="342">
        <f>-(P18+G20)</f>
        <v>-161.79124999999999</v>
      </c>
      <c r="Q20" s="342">
        <f>-(Q18+H20)</f>
        <v>0</v>
      </c>
    </row>
    <row r="21" spans="2:17" ht="13.5" thickBot="1" x14ac:dyDescent="0.25">
      <c r="B21" s="6"/>
      <c r="F21" s="19"/>
      <c r="G21" s="19"/>
      <c r="H21" s="19"/>
      <c r="O21" s="21"/>
      <c r="P21" s="21"/>
      <c r="Q21" s="21"/>
    </row>
    <row r="22" spans="2:17" ht="13.5" thickBot="1" x14ac:dyDescent="0.25">
      <c r="B22" s="6" t="s">
        <v>61</v>
      </c>
      <c r="F22" s="16">
        <f>-('SP Previsionale L-E (output)'!F20-'SP Previsionale L-E (output)'!G20+'CE Previsionale L-E (output)'!F26+'CE Previsionale L-E (output)'!O12)</f>
        <v>0</v>
      </c>
      <c r="G22" s="16">
        <f>-('SP Previsionale L-E (output)'!G20-'SP Previsionale L-E (output)'!H20+'CE Previsionale L-E (output)'!G26+'CE Previsionale L-E (output)'!P12)</f>
        <v>0</v>
      </c>
      <c r="H22" s="16">
        <f>-('SP Previsionale L-E (output)'!H20-'SP Previsionale L-E (output)'!I20+'CE Previsionale L-E (output)'!H26+'CE Previsionale L-E (output)'!Q12)</f>
        <v>-120</v>
      </c>
      <c r="K22" s="4" t="s">
        <v>63</v>
      </c>
      <c r="O22" s="26">
        <f>'Parametri Previsione (input)'!N44+'Parametri Previsione (input)'!N48+'Parametri Previsione (input)'!N54</f>
        <v>30</v>
      </c>
      <c r="P22" s="26">
        <f>'Parametri Previsione (input)'!M44+'Parametri Previsione (input)'!M48+'Parametri Previsione (input)'!M54</f>
        <v>30</v>
      </c>
      <c r="Q22" s="26">
        <f>IF(('SP Previsionale L-E (output)'!Q14+'SP Previsionale L-E (output)'!Q16-'SP Previsionale L-E (output)'!R14-'SP Previsionale L-E (output)'!R16)&gt;0,('SP Previsionale L-E (output)'!Q14+'SP Previsionale L-E (output)'!Q16-'SP Previsionale L-E (output)'!R14-'SP Previsionale L-E (output)'!R16),0)</f>
        <v>0</v>
      </c>
    </row>
    <row r="23" spans="2:17" ht="13.5" thickBot="1" x14ac:dyDescent="0.25">
      <c r="B23" s="6"/>
      <c r="F23" s="19"/>
      <c r="G23" s="19"/>
      <c r="H23" s="19"/>
      <c r="O23" s="21"/>
      <c r="P23" s="21"/>
      <c r="Q23" s="21"/>
    </row>
    <row r="24" spans="2:17" ht="13.5" thickBot="1" x14ac:dyDescent="0.25">
      <c r="B24" s="3"/>
      <c r="C24" s="6" t="s">
        <v>55</v>
      </c>
      <c r="F24" s="16">
        <f>-('SP Previsionale L-E (output)'!F12-'SP Previsionale L-E (output)'!G12+'CE Previsionale L-E (output)'!F26)</f>
        <v>0</v>
      </c>
      <c r="G24" s="16">
        <f>-('SP Previsionale L-E (output)'!G12-'SP Previsionale L-E (output)'!H12+'CE Previsionale L-E (output)'!G26)</f>
        <v>0</v>
      </c>
      <c r="H24" s="16">
        <f>-('SP Previsionale L-E (output)'!H12-'SP Previsionale L-E (output)'!I12+'CE Previsionale L-E (output)'!H26)</f>
        <v>-80</v>
      </c>
      <c r="K24" s="4" t="s">
        <v>64</v>
      </c>
      <c r="O24" s="26">
        <f>IF(('SP Previsionale L-E (output)'!O6-('SP Previsionale L-E (output)'!P6+'CE Previsionale L-E (output)'!O30))&lt;0,0,('SP Previsionale L-E (output)'!O6-('SP Previsionale L-E (output)'!P6+'CE Previsionale L-E (output)'!O30)))</f>
        <v>30</v>
      </c>
      <c r="P24" s="26">
        <f>IF(('SP Previsionale L-E (output)'!P6-('SP Previsionale L-E (output)'!Q6+'CE Previsionale L-E (output)'!P30))&lt;0,0,('SP Previsionale L-E (output)'!P6-('SP Previsionale L-E (output)'!Q6+'CE Previsionale L-E (output)'!P30)))</f>
        <v>30</v>
      </c>
      <c r="Q24" s="26">
        <f>IF(('SP Previsionale L-E (output)'!Q6-('SP Previsionale L-E (output)'!R6+'CE Previsionale L-E (output)'!Q30))&lt;0,0,('SP Previsionale L-E (output)'!Q6-('SP Previsionale L-E (output)'!R6+'CE Previsionale L-E (output)'!Q30)))</f>
        <v>0</v>
      </c>
    </row>
    <row r="25" spans="2:17" ht="13.5" thickBot="1" x14ac:dyDescent="0.25">
      <c r="B25" s="6"/>
      <c r="F25" s="19"/>
      <c r="G25" s="19"/>
      <c r="H25" s="19"/>
      <c r="O25" s="21"/>
      <c r="P25" s="21"/>
      <c r="Q25" s="21"/>
    </row>
    <row r="26" spans="2:17" ht="13.5" thickBot="1" x14ac:dyDescent="0.25">
      <c r="B26" s="3"/>
      <c r="C26" s="6" t="s">
        <v>54</v>
      </c>
      <c r="F26" s="16">
        <f>-('SP Previsionale L-E (output)'!F10-'SP Previsionale L-E (output)'!G10+'CE Previsionale L-E (output)'!O12)</f>
        <v>0</v>
      </c>
      <c r="G26" s="16">
        <f>-('SP Previsionale L-E (output)'!G10-'SP Previsionale L-E (output)'!H10+'CE Previsionale L-E (output)'!P12)</f>
        <v>0</v>
      </c>
      <c r="H26" s="16">
        <f>-('SP Previsionale L-E (output)'!H10-'SP Previsionale L-E (output)'!I10+'CE Previsionale L-E (output)'!Q12)</f>
        <v>-40</v>
      </c>
      <c r="K26" s="2" t="s">
        <v>65</v>
      </c>
      <c r="L26" s="2"/>
      <c r="M26" s="2"/>
      <c r="N26" s="2"/>
      <c r="O26" s="342">
        <f>O22+O24</f>
        <v>60</v>
      </c>
      <c r="P26" s="342">
        <f>P22+P24</f>
        <v>60</v>
      </c>
      <c r="Q26" s="342">
        <f>Q22+Q24</f>
        <v>0</v>
      </c>
    </row>
    <row r="27" spans="2:17" ht="13.5" thickBot="1" x14ac:dyDescent="0.25">
      <c r="B27" s="6"/>
      <c r="F27" s="19"/>
      <c r="G27" s="19"/>
      <c r="H27" s="19"/>
      <c r="O27" s="21"/>
      <c r="P27" s="21"/>
      <c r="Q27" s="21"/>
    </row>
    <row r="28" spans="2:17" ht="13.5" thickBot="1" x14ac:dyDescent="0.25">
      <c r="B28" s="6" t="s">
        <v>56</v>
      </c>
      <c r="F28" s="16">
        <f>'CE Previsionale L-E (output)'!O10</f>
        <v>0</v>
      </c>
      <c r="G28" s="16">
        <f>'CE Previsionale L-E (output)'!P10</f>
        <v>0</v>
      </c>
      <c r="H28" s="16">
        <f>'CE Previsionale L-E (output)'!Q10</f>
        <v>0</v>
      </c>
      <c r="K28" s="4" t="s">
        <v>226</v>
      </c>
      <c r="O28" s="384">
        <f>'QUADRO SINT PREV (output)'!I39-'QUADRO SINT PREV (output)'!G39</f>
        <v>0</v>
      </c>
      <c r="P28" s="385">
        <f>'QUADRO SINT PREV (output)'!G39-'QUADRO SINT PREV (output)'!E39</f>
        <v>0</v>
      </c>
      <c r="Q28" s="26">
        <f>'QUADRO SINT PREV (output)'!E39-'QUADRO SINT PREV (output)'!C39</f>
        <v>0</v>
      </c>
    </row>
    <row r="29" spans="2:17" ht="13.5" thickBot="1" x14ac:dyDescent="0.25">
      <c r="O29" s="21"/>
      <c r="P29" s="21"/>
      <c r="Q29" s="21"/>
    </row>
    <row r="30" spans="2:17" ht="13.5" thickBot="1" x14ac:dyDescent="0.25">
      <c r="K30" s="2" t="s">
        <v>66</v>
      </c>
      <c r="L30" s="1"/>
      <c r="M30" s="1"/>
      <c r="N30" s="1"/>
      <c r="O30" s="20">
        <f>O20-O26+O28</f>
        <v>-211.728776388889</v>
      </c>
      <c r="P30" s="20">
        <f>P20-P26+P28</f>
        <v>-221.79124999999999</v>
      </c>
      <c r="Q30" s="20">
        <f>Q20-Q26</f>
        <v>0</v>
      </c>
    </row>
    <row r="31" spans="2:17" x14ac:dyDescent="0.2">
      <c r="O31" s="21"/>
      <c r="P31" s="21"/>
      <c r="Q31" s="21"/>
    </row>
    <row r="32" spans="2:17" ht="13.5" thickBot="1" x14ac:dyDescent="0.25">
      <c r="O32" s="21"/>
      <c r="P32" s="21"/>
      <c r="Q32" s="21"/>
    </row>
    <row r="33" spans="1:18" ht="13.5" thickBot="1" x14ac:dyDescent="0.25">
      <c r="B33" s="343" t="s">
        <v>218</v>
      </c>
      <c r="C33" s="344"/>
      <c r="D33" s="345"/>
      <c r="E33" s="345"/>
      <c r="F33" s="345"/>
      <c r="G33" s="345"/>
      <c r="H33" s="346"/>
      <c r="K33" s="3" t="s">
        <v>67</v>
      </c>
      <c r="O33" s="24">
        <f>'SP Previsionale L-E (output)'!O24-'SP Previsionale L-E (output)'!P24</f>
        <v>-211.72877638888923</v>
      </c>
      <c r="P33" s="24">
        <f>'SP Previsionale L-E (output)'!P24-'SP Previsionale L-E (output)'!Q24</f>
        <v>-221.79124999999999</v>
      </c>
      <c r="Q33" s="24">
        <f>'SP Previsionale L-E (output)'!Q24-'SP Previsionale L-E (output)'!R24</f>
        <v>0</v>
      </c>
    </row>
    <row r="34" spans="1:18" ht="19.899999999999999" customHeight="1" thickTop="1" x14ac:dyDescent="0.2">
      <c r="B34" s="338"/>
      <c r="C34" s="239"/>
      <c r="D34" s="223"/>
      <c r="E34" s="223"/>
      <c r="F34" s="223"/>
      <c r="G34" s="223"/>
      <c r="H34" s="37"/>
    </row>
    <row r="35" spans="1:18" x14ac:dyDescent="0.2">
      <c r="B35" s="237" t="s">
        <v>219</v>
      </c>
      <c r="C35" s="239"/>
      <c r="D35" s="223"/>
      <c r="E35" s="223"/>
      <c r="F35" s="374">
        <f>F20</f>
        <v>194.92722222222233</v>
      </c>
      <c r="G35" s="374">
        <f>G20</f>
        <v>233.875</v>
      </c>
      <c r="H35" s="375">
        <f>H20</f>
        <v>210</v>
      </c>
    </row>
    <row r="36" spans="1:18" x14ac:dyDescent="0.2">
      <c r="B36" s="237" t="s">
        <v>220</v>
      </c>
      <c r="C36" s="239"/>
      <c r="D36" s="223"/>
      <c r="E36" s="223"/>
      <c r="F36" s="374">
        <f>F20+F22</f>
        <v>194.92722222222233</v>
      </c>
      <c r="G36" s="374">
        <f>G20+G22</f>
        <v>233.875</v>
      </c>
      <c r="H36" s="375">
        <f>H20+H22</f>
        <v>90</v>
      </c>
    </row>
    <row r="37" spans="1:18" x14ac:dyDescent="0.2">
      <c r="B37" s="237" t="s">
        <v>221</v>
      </c>
      <c r="C37" s="239"/>
      <c r="D37" s="223"/>
      <c r="E37" s="223"/>
      <c r="F37" s="374">
        <f>F36+O8+O14+O22</f>
        <v>181.728776388889</v>
      </c>
      <c r="G37" s="374">
        <f>G36+P8+P14+P22</f>
        <v>191.79124999999999</v>
      </c>
      <c r="H37" s="375">
        <f>H36+Q8+Q14+Q22</f>
        <v>30</v>
      </c>
    </row>
    <row r="38" spans="1:18" x14ac:dyDescent="0.2">
      <c r="B38" s="237" t="s">
        <v>222</v>
      </c>
      <c r="C38" s="239"/>
      <c r="D38" s="223"/>
      <c r="E38" s="223"/>
      <c r="F38" s="347">
        <f>(F20)/(-O8-O14)</f>
        <v>4.512366555368299</v>
      </c>
      <c r="G38" s="347">
        <f>(G20)/(-P8-P14)</f>
        <v>3.2444899162432588</v>
      </c>
      <c r="H38" s="348">
        <f>(H20)/(-Q8-Q14)</f>
        <v>3.5</v>
      </c>
      <c r="N38" s="18"/>
    </row>
    <row r="39" spans="1:18" ht="13.5" thickBot="1" x14ac:dyDescent="0.25">
      <c r="A39" s="223"/>
      <c r="B39" s="339"/>
      <c r="C39" s="243"/>
      <c r="D39" s="246"/>
      <c r="E39" s="246"/>
      <c r="F39" s="246"/>
      <c r="G39" s="246"/>
      <c r="H39" s="340"/>
      <c r="I39" s="223"/>
      <c r="J39" s="223"/>
      <c r="K39" s="223"/>
      <c r="L39" s="223"/>
      <c r="M39" s="223"/>
      <c r="N39" s="223"/>
      <c r="O39" s="223"/>
      <c r="P39" s="223"/>
      <c r="Q39" s="223"/>
      <c r="R39" s="223"/>
    </row>
    <row r="40" spans="1:18" ht="13.5" thickBot="1" x14ac:dyDescent="0.25">
      <c r="A40" s="5"/>
      <c r="B40" s="10"/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4.25" thickTop="1" thickBot="1" x14ac:dyDescent="0.25">
      <c r="A41" s="5"/>
      <c r="I41" s="5"/>
      <c r="J41" s="5"/>
      <c r="K41" s="223"/>
      <c r="L41" s="223"/>
      <c r="M41" s="223"/>
      <c r="N41" s="223"/>
      <c r="O41" s="223"/>
      <c r="P41" s="223"/>
      <c r="Q41" s="223"/>
      <c r="R41" s="5"/>
    </row>
    <row r="42" spans="1:18" ht="13.5" thickTop="1" x14ac:dyDescent="0.2"/>
    <row r="43" spans="1:18" x14ac:dyDescent="0.2">
      <c r="H43" s="18"/>
    </row>
    <row r="44" spans="1:18" x14ac:dyDescent="0.2">
      <c r="H44" s="18"/>
      <c r="I44" s="18"/>
      <c r="P44" s="18"/>
    </row>
    <row r="45" spans="1:18" x14ac:dyDescent="0.2">
      <c r="K45" s="18"/>
    </row>
    <row r="46" spans="1:18" x14ac:dyDescent="0.2">
      <c r="K46" s="18"/>
    </row>
    <row r="47" spans="1:18" x14ac:dyDescent="0.2">
      <c r="K47" s="18"/>
      <c r="O47" s="18"/>
    </row>
    <row r="48" spans="1:18" x14ac:dyDescent="0.2">
      <c r="K48" s="18"/>
    </row>
  </sheetData>
  <phoneticPr fontId="0" type="noConversion"/>
  <pageMargins left="0.75" right="0.75" top="1" bottom="1" header="0.5" footer="0.5"/>
  <pageSetup paperSize="9" scale="7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8"/>
  <dimension ref="A1:R41"/>
  <sheetViews>
    <sheetView zoomScale="75" zoomScaleNormal="75" workbookViewId="0">
      <selection activeCell="J36" sqref="J36"/>
    </sheetView>
  </sheetViews>
  <sheetFormatPr defaultColWidth="16.85546875" defaultRowHeight="12.75" x14ac:dyDescent="0.2"/>
  <cols>
    <col min="1" max="1" width="7" style="138" customWidth="1"/>
    <col min="2" max="2" width="16.85546875" style="138" customWidth="1"/>
    <col min="3" max="3" width="13.28515625" style="138" customWidth="1"/>
    <col min="4" max="4" width="16.85546875" style="138" customWidth="1"/>
    <col min="5" max="5" width="2" style="138" customWidth="1"/>
    <col min="6" max="8" width="16.85546875" style="138" customWidth="1"/>
    <col min="9" max="9" width="5.42578125" style="138" customWidth="1"/>
    <col min="10" max="16384" width="16.85546875" style="138"/>
  </cols>
  <sheetData>
    <row r="1" spans="1:18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8" x14ac:dyDescent="0.2">
      <c r="A2" s="162" t="s">
        <v>187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8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8" s="354" customFormat="1" x14ac:dyDescent="0.2">
      <c r="A4" s="162"/>
      <c r="B4" s="162" t="s">
        <v>70</v>
      </c>
      <c r="C4" s="162"/>
      <c r="D4" s="162"/>
      <c r="E4" s="162"/>
      <c r="F4" s="353">
        <f>G4+1</f>
        <v>2021</v>
      </c>
      <c r="G4" s="353">
        <f>H4+1</f>
        <v>2020</v>
      </c>
      <c r="H4" s="353">
        <f>'Stato Patrimoniale (input)'!F4</f>
        <v>2019</v>
      </c>
      <c r="I4" s="162"/>
      <c r="J4" s="162"/>
      <c r="K4" s="162"/>
      <c r="L4" s="162"/>
      <c r="M4" s="162"/>
      <c r="N4" s="162"/>
      <c r="O4" s="166"/>
      <c r="P4" s="162"/>
    </row>
    <row r="5" spans="1:18" x14ac:dyDescent="0.2">
      <c r="A5" s="161"/>
      <c r="B5" s="162"/>
      <c r="C5" s="161"/>
      <c r="D5" s="161"/>
      <c r="E5" s="161"/>
      <c r="F5" s="164"/>
      <c r="G5" s="164"/>
      <c r="H5" s="164"/>
      <c r="I5" s="161"/>
      <c r="J5" s="161"/>
      <c r="K5" s="161"/>
      <c r="L5" s="161"/>
      <c r="M5" s="161"/>
      <c r="N5" s="161"/>
      <c r="O5" s="161"/>
      <c r="P5" s="161"/>
    </row>
    <row r="6" spans="1:18" x14ac:dyDescent="0.2">
      <c r="A6" s="161"/>
      <c r="B6" s="162" t="s">
        <v>1</v>
      </c>
      <c r="C6" s="162"/>
      <c r="D6" s="162"/>
      <c r="E6" s="162"/>
      <c r="F6" s="165">
        <f>G6</f>
        <v>12</v>
      </c>
      <c r="G6" s="165">
        <v>12</v>
      </c>
      <c r="H6" s="165">
        <f>'Stato Patrimoniale (input)'!F6</f>
        <v>12</v>
      </c>
      <c r="I6" s="161"/>
      <c r="J6" s="162" t="s">
        <v>13</v>
      </c>
      <c r="K6" s="162"/>
      <c r="L6" s="162"/>
      <c r="M6" s="162"/>
      <c r="N6" s="165">
        <f>'SP Previsionale L-E (output)'!P6+'Parametri Previsione (input)'!N40-'Parametri Previsione (input)'!N42</f>
        <v>296.87479166666662</v>
      </c>
      <c r="O6" s="165">
        <f>P6+'Parametri Previsione (input)'!M40-'Parametri Previsione (input)'!M42</f>
        <v>230</v>
      </c>
      <c r="P6" s="164">
        <f>'Stato Patrimoniale (input)'!M6</f>
        <v>200</v>
      </c>
    </row>
    <row r="7" spans="1:18" x14ac:dyDescent="0.2">
      <c r="A7" s="161"/>
      <c r="B7" s="161"/>
      <c r="C7" s="161"/>
      <c r="D7" s="161"/>
      <c r="E7" s="161"/>
      <c r="F7" s="164"/>
      <c r="G7" s="164"/>
      <c r="H7" s="164"/>
      <c r="I7" s="161"/>
      <c r="J7" s="162"/>
      <c r="K7" s="162"/>
      <c r="L7" s="162"/>
      <c r="M7" s="162"/>
      <c r="N7" s="164"/>
      <c r="O7" s="164"/>
      <c r="P7" s="164"/>
      <c r="R7" s="139"/>
    </row>
    <row r="8" spans="1:18" x14ac:dyDescent="0.2">
      <c r="A8" s="161"/>
      <c r="B8" s="161"/>
      <c r="C8" s="161"/>
      <c r="D8" s="161"/>
      <c r="E8" s="161"/>
      <c r="F8" s="164"/>
      <c r="G8" s="164"/>
      <c r="H8" s="164"/>
      <c r="I8" s="161"/>
      <c r="J8" s="162" t="s">
        <v>14</v>
      </c>
      <c r="K8" s="162"/>
      <c r="L8" s="162"/>
      <c r="M8" s="162"/>
      <c r="N8" s="164">
        <f>O8+'Parametri Previsione (input)'!G22</f>
        <v>0</v>
      </c>
      <c r="O8" s="164">
        <f>P8+'Parametri Previsione (input)'!F22</f>
        <v>0</v>
      </c>
      <c r="P8" s="164">
        <f>'Stato Patrimoniale (input)'!M8</f>
        <v>0</v>
      </c>
      <c r="R8" s="139"/>
    </row>
    <row r="9" spans="1:18" x14ac:dyDescent="0.2">
      <c r="A9" s="161"/>
      <c r="B9" s="161"/>
      <c r="C9" s="161"/>
      <c r="D9" s="161"/>
      <c r="E9" s="161"/>
      <c r="F9" s="164"/>
      <c r="G9" s="164"/>
      <c r="H9" s="164"/>
      <c r="I9" s="161"/>
      <c r="J9" s="162"/>
      <c r="K9" s="162"/>
      <c r="L9" s="162"/>
      <c r="M9" s="162"/>
      <c r="N9" s="164"/>
      <c r="O9" s="164"/>
      <c r="P9" s="164"/>
    </row>
    <row r="10" spans="1:18" x14ac:dyDescent="0.2">
      <c r="A10" s="161"/>
      <c r="B10" s="162" t="s">
        <v>2</v>
      </c>
      <c r="C10" s="161"/>
      <c r="D10" s="161"/>
      <c r="E10" s="161"/>
      <c r="F10" s="164">
        <f>G10+'Parametri Previsione (input)'!G48-'CE Previsionale L-E (output)'!O12-'Parametri Previsione (input)'!G52</f>
        <v>20</v>
      </c>
      <c r="G10" s="164">
        <f>H10+'Parametri Previsione (input)'!F48-'CE Previsionale L-E (output)'!P12-'Parametri Previsione (input)'!F52</f>
        <v>60</v>
      </c>
      <c r="H10" s="164">
        <f>'Stato Patrimoniale (input)'!F10</f>
        <v>100</v>
      </c>
      <c r="I10" s="161"/>
      <c r="J10" s="162" t="s">
        <v>15</v>
      </c>
      <c r="K10" s="162"/>
      <c r="L10" s="162"/>
      <c r="M10" s="162"/>
      <c r="N10" s="165">
        <f>O10+'Parametri Previsione (input)'!G18</f>
        <v>85</v>
      </c>
      <c r="O10" s="165">
        <f>P10+'Parametri Previsione (input)'!F18</f>
        <v>85</v>
      </c>
      <c r="P10" s="164">
        <f>'Stato Patrimoniale (input)'!M10</f>
        <v>100</v>
      </c>
    </row>
    <row r="11" spans="1:18" x14ac:dyDescent="0.2">
      <c r="A11" s="161"/>
      <c r="B11" s="162"/>
      <c r="C11" s="161"/>
      <c r="D11" s="161"/>
      <c r="E11" s="161"/>
      <c r="F11" s="164"/>
      <c r="G11" s="164"/>
      <c r="H11" s="164"/>
      <c r="I11" s="161"/>
      <c r="J11" s="162"/>
      <c r="K11" s="162"/>
      <c r="L11" s="162"/>
      <c r="M11" s="162"/>
      <c r="N11" s="164"/>
      <c r="O11" s="164"/>
      <c r="P11" s="164"/>
    </row>
    <row r="12" spans="1:18" x14ac:dyDescent="0.2">
      <c r="A12" s="161"/>
      <c r="B12" s="162" t="s">
        <v>3</v>
      </c>
      <c r="C12" s="161"/>
      <c r="D12" s="161"/>
      <c r="E12" s="161"/>
      <c r="F12" s="164">
        <f>G12+'Parametri Previsione (input)'!G40-'CE Previsionale L-E (output)'!F26-'Parametri Previsione (input)'!G44</f>
        <v>340</v>
      </c>
      <c r="G12" s="164">
        <f>H12+'Parametri Previsione (input)'!F40-'CE Previsionale L-E (output)'!G26-'Parametri Previsione (input)'!F44</f>
        <v>420</v>
      </c>
      <c r="H12" s="164">
        <f>'Stato Patrimoniale (input)'!F12</f>
        <v>500</v>
      </c>
      <c r="I12" s="161"/>
      <c r="J12" s="162" t="s">
        <v>16</v>
      </c>
      <c r="K12" s="162"/>
      <c r="L12" s="162"/>
      <c r="M12" s="162"/>
      <c r="N12" s="165">
        <f>N14+N16+N18</f>
        <v>220</v>
      </c>
      <c r="O12" s="165">
        <f>O14+O16+O18</f>
        <v>210</v>
      </c>
      <c r="P12" s="164">
        <f>'Stato Patrimoniale (input)'!M12</f>
        <v>200</v>
      </c>
    </row>
    <row r="13" spans="1:18" x14ac:dyDescent="0.2">
      <c r="A13" s="161"/>
      <c r="B13" s="161"/>
      <c r="C13" s="161"/>
      <c r="D13" s="161"/>
      <c r="E13" s="161"/>
      <c r="F13" s="164"/>
      <c r="G13" s="164"/>
      <c r="H13" s="164"/>
      <c r="I13" s="161"/>
      <c r="J13" s="162"/>
      <c r="K13" s="162"/>
      <c r="L13" s="162"/>
      <c r="M13" s="162"/>
      <c r="N13" s="164"/>
      <c r="O13" s="164"/>
      <c r="P13" s="164"/>
    </row>
    <row r="14" spans="1:18" x14ac:dyDescent="0.2">
      <c r="A14" s="161"/>
      <c r="B14" s="162" t="s">
        <v>4</v>
      </c>
      <c r="C14" s="161"/>
      <c r="D14" s="161"/>
      <c r="E14" s="161"/>
      <c r="F14" s="164">
        <f>G14+'Parametri Previsione (input)'!G56-'Parametri Previsione (input)'!G60</f>
        <v>0</v>
      </c>
      <c r="G14" s="164">
        <f>H14+'Parametri Previsione (input)'!F56-'Parametri Previsione (input)'!F60</f>
        <v>0</v>
      </c>
      <c r="H14" s="164">
        <f>'Stato Patrimoniale (input)'!F14</f>
        <v>0</v>
      </c>
      <c r="I14" s="161"/>
      <c r="J14" s="162"/>
      <c r="K14" s="162" t="s">
        <v>17</v>
      </c>
      <c r="L14" s="162"/>
      <c r="M14" s="162"/>
      <c r="N14" s="165">
        <f>O14+'Parametri Previsione (input)'!N44-'Parametri Previsione (input)'!N46</f>
        <v>220</v>
      </c>
      <c r="O14" s="165">
        <f>P14+'Parametri Previsione (input)'!M44-'Parametri Previsione (input)'!M46</f>
        <v>200</v>
      </c>
      <c r="P14" s="164">
        <f>'Stato Patrimoniale (input)'!M14</f>
        <v>180</v>
      </c>
    </row>
    <row r="15" spans="1:18" x14ac:dyDescent="0.2">
      <c r="A15" s="161"/>
      <c r="B15" s="162"/>
      <c r="C15" s="161"/>
      <c r="D15" s="161"/>
      <c r="E15" s="161"/>
      <c r="F15" s="164"/>
      <c r="G15" s="164"/>
      <c r="H15" s="164"/>
      <c r="I15" s="161"/>
      <c r="J15" s="162"/>
      <c r="K15" s="162"/>
      <c r="L15" s="162"/>
      <c r="M15" s="162"/>
      <c r="N15" s="164"/>
      <c r="O15" s="164"/>
      <c r="P15" s="164"/>
    </row>
    <row r="16" spans="1:18" x14ac:dyDescent="0.2">
      <c r="A16" s="161"/>
      <c r="B16" s="161"/>
      <c r="C16" s="162" t="s">
        <v>5</v>
      </c>
      <c r="D16" s="161"/>
      <c r="E16" s="161"/>
      <c r="F16" s="164">
        <f>G16+'Parametri Previsione (input)'!G58-'Parametri Previsione (input)'!G62</f>
        <v>0</v>
      </c>
      <c r="G16" s="164">
        <f>H16+'Parametri Previsione (input)'!F58-'Parametri Previsione (input)'!F62</f>
        <v>0</v>
      </c>
      <c r="H16" s="164">
        <f>'Stato Patrimoniale (input)'!F16</f>
        <v>0</v>
      </c>
      <c r="I16" s="161"/>
      <c r="J16" s="162"/>
      <c r="K16" s="162" t="s">
        <v>19</v>
      </c>
      <c r="L16" s="162"/>
      <c r="M16" s="162"/>
      <c r="N16" s="164">
        <f>O16+'Parametri Previsione (input)'!N48-'Parametri Previsione (input)'!N50</f>
        <v>0</v>
      </c>
      <c r="O16" s="164">
        <f>P16+'Parametri Previsione (input)'!M48-'Parametri Previsione (input)'!M50</f>
        <v>0</v>
      </c>
      <c r="P16" s="164">
        <f>'Stato Patrimoniale (input)'!M16</f>
        <v>0</v>
      </c>
    </row>
    <row r="17" spans="1:18" x14ac:dyDescent="0.2">
      <c r="A17" s="161"/>
      <c r="B17" s="161"/>
      <c r="C17" s="162"/>
      <c r="D17" s="161"/>
      <c r="E17" s="161"/>
      <c r="F17" s="164"/>
      <c r="G17" s="164"/>
      <c r="H17" s="164"/>
      <c r="I17" s="161"/>
      <c r="J17" s="162"/>
      <c r="K17" s="162"/>
      <c r="L17" s="162"/>
      <c r="M17" s="162"/>
      <c r="N17" s="164"/>
      <c r="O17" s="164"/>
      <c r="P17" s="164"/>
    </row>
    <row r="18" spans="1:18" x14ac:dyDescent="0.2">
      <c r="A18" s="161"/>
      <c r="B18" s="161"/>
      <c r="C18" s="162"/>
      <c r="D18" s="161"/>
      <c r="E18" s="161"/>
      <c r="F18" s="164"/>
      <c r="G18" s="164"/>
      <c r="H18" s="164"/>
      <c r="I18" s="161"/>
      <c r="J18" s="162"/>
      <c r="K18" s="162" t="s">
        <v>208</v>
      </c>
      <c r="L18" s="162"/>
      <c r="M18" s="162"/>
      <c r="N18" s="164">
        <f>O18+'Parametri Previsione (input)'!N54-'Parametri Previsione (input)'!N56</f>
        <v>0</v>
      </c>
      <c r="O18" s="164">
        <f>P18+'Parametri Previsione (input)'!M54-'Parametri Previsione (input)'!M56</f>
        <v>10</v>
      </c>
      <c r="P18" s="164">
        <f>'Stato Patrimoniale (input)'!M18</f>
        <v>20</v>
      </c>
    </row>
    <row r="19" spans="1:18" x14ac:dyDescent="0.2">
      <c r="A19" s="161"/>
      <c r="B19" s="161"/>
      <c r="C19" s="161"/>
      <c r="D19" s="161"/>
      <c r="E19" s="161"/>
      <c r="F19" s="164"/>
      <c r="G19" s="164"/>
      <c r="H19" s="164"/>
      <c r="I19" s="161"/>
      <c r="J19" s="162"/>
      <c r="K19" s="162"/>
      <c r="L19" s="162"/>
      <c r="M19" s="162"/>
      <c r="N19" s="164"/>
      <c r="O19" s="164"/>
      <c r="P19" s="164"/>
    </row>
    <row r="20" spans="1:18" x14ac:dyDescent="0.2">
      <c r="A20" s="161"/>
      <c r="B20" s="162" t="s">
        <v>6</v>
      </c>
      <c r="C20" s="162"/>
      <c r="D20" s="162"/>
      <c r="E20" s="162"/>
      <c r="F20" s="165">
        <f>F10+F12+F14</f>
        <v>360</v>
      </c>
      <c r="G20" s="165">
        <f>G10+G12+G14</f>
        <v>480</v>
      </c>
      <c r="H20" s="165">
        <f>H10+H12+H14</f>
        <v>600</v>
      </c>
      <c r="I20" s="161"/>
      <c r="J20" s="162" t="s">
        <v>20</v>
      </c>
      <c r="K20" s="162"/>
      <c r="L20" s="162"/>
      <c r="M20" s="162"/>
      <c r="N20" s="165">
        <f>N6+N8+N10+N12</f>
        <v>601.87479166666662</v>
      </c>
      <c r="O20" s="165">
        <f>O6+O8+O10+O12</f>
        <v>525</v>
      </c>
      <c r="P20" s="165">
        <f>P6+P8+P10+P12</f>
        <v>500</v>
      </c>
    </row>
    <row r="21" spans="1:18" x14ac:dyDescent="0.2">
      <c r="A21" s="161"/>
      <c r="B21" s="161"/>
      <c r="C21" s="161"/>
      <c r="D21" s="161"/>
      <c r="E21" s="161"/>
      <c r="F21" s="164"/>
      <c r="G21" s="164"/>
      <c r="H21" s="164"/>
      <c r="I21" s="161"/>
      <c r="J21" s="161"/>
      <c r="K21" s="161"/>
      <c r="L21" s="161"/>
      <c r="M21" s="161"/>
      <c r="N21" s="164"/>
      <c r="O21" s="164"/>
      <c r="P21" s="164"/>
    </row>
    <row r="22" spans="1:18" x14ac:dyDescent="0.2">
      <c r="A22" s="161"/>
      <c r="B22" s="162" t="s">
        <v>7</v>
      </c>
      <c r="C22" s="161"/>
      <c r="D22" s="161"/>
      <c r="E22" s="161"/>
      <c r="F22" s="364">
        <f>'CE Previsionale L-E (output)'!F10/360*'Parametri Previsione (input)'!N10</f>
        <v>595.35416666666663</v>
      </c>
      <c r="G22" s="366">
        <f>'CE Previsionale L-E (output)'!G10/360*'Parametri Previsione (input)'!M10</f>
        <v>580.83333333333326</v>
      </c>
      <c r="H22" s="355">
        <f>'Stato Patrimoniale (input)'!F22</f>
        <v>600</v>
      </c>
      <c r="I22" s="161"/>
      <c r="J22" s="162" t="s">
        <v>97</v>
      </c>
      <c r="K22" s="162"/>
      <c r="L22" s="162"/>
      <c r="M22" s="162"/>
      <c r="N22" s="165">
        <f>N24+N26+N28+(('SP Previsionale L-E (output)'!P22-'SP Previsionale L-E (output)'!P24-'SP Previsionale L-E (output)'!P26-'SP Previsionale L-E (output)'!P28)*(1+'Parametri Previsione (input)'!N18))-'CE Previsionale L-E (output)'!P26*(1+'Parametri Previsione (input)'!N18)</f>
        <v>507.20701388888898</v>
      </c>
      <c r="O22" s="165">
        <f>O24+O26+O28+((P22-P24-P26-P28)*(1+'Parametri Previsione (input)'!M18))-'CE Previsionale L-E (output)'!Q26*(1+'Parametri Previsione (input)'!M18)</f>
        <v>498.875</v>
      </c>
      <c r="P22" s="164">
        <f>'Stato Patrimoniale (input)'!M22</f>
        <v>1300</v>
      </c>
      <c r="R22" s="139"/>
    </row>
    <row r="23" spans="1:18" x14ac:dyDescent="0.2">
      <c r="A23" s="161"/>
      <c r="B23" s="162"/>
      <c r="C23" s="161"/>
      <c r="D23" s="161"/>
      <c r="E23" s="161"/>
      <c r="F23" s="364"/>
      <c r="G23" s="366"/>
      <c r="H23" s="355"/>
      <c r="I23" s="161"/>
      <c r="J23" s="162"/>
      <c r="K23" s="162"/>
      <c r="L23" s="162"/>
      <c r="M23" s="162"/>
      <c r="N23" s="164"/>
      <c r="O23" s="164"/>
      <c r="P23" s="164"/>
    </row>
    <row r="24" spans="1:18" x14ac:dyDescent="0.2">
      <c r="A24" s="161"/>
      <c r="B24" s="162"/>
      <c r="C24" s="162" t="s">
        <v>8</v>
      </c>
      <c r="D24" s="161"/>
      <c r="E24" s="161"/>
      <c r="F24" s="364">
        <f>(F22/G22)*G24</f>
        <v>0</v>
      </c>
      <c r="G24" s="366">
        <f>(G22/H22)*H24</f>
        <v>0</v>
      </c>
      <c r="H24" s="355">
        <f>'Stato Patrimoniale (input)'!F24</f>
        <v>0</v>
      </c>
      <c r="I24" s="161"/>
      <c r="J24" s="162"/>
      <c r="K24" s="162" t="s">
        <v>17</v>
      </c>
      <c r="L24" s="162"/>
      <c r="M24" s="162"/>
      <c r="N24" s="164"/>
      <c r="O24" s="164"/>
      <c r="P24" s="164">
        <f>'Stato Patrimoniale (input)'!M24</f>
        <v>800</v>
      </c>
      <c r="R24" s="139"/>
    </row>
    <row r="25" spans="1:18" x14ac:dyDescent="0.2">
      <c r="A25" s="161"/>
      <c r="B25" s="161"/>
      <c r="C25" s="161"/>
      <c r="D25" s="161"/>
      <c r="E25" s="161"/>
      <c r="F25" s="364"/>
      <c r="G25" s="366"/>
      <c r="H25" s="355"/>
      <c r="I25" s="161"/>
      <c r="J25" s="162"/>
      <c r="K25" s="162"/>
      <c r="L25" s="162"/>
      <c r="M25" s="162"/>
      <c r="N25" s="164"/>
      <c r="O25" s="164"/>
      <c r="P25" s="164"/>
      <c r="R25" s="139"/>
    </row>
    <row r="26" spans="1:18" x14ac:dyDescent="0.2">
      <c r="A26" s="161"/>
      <c r="B26" s="162" t="s">
        <v>9</v>
      </c>
      <c r="C26" s="161"/>
      <c r="D26" s="161"/>
      <c r="E26" s="161"/>
      <c r="F26" s="364">
        <f>((G26-G28)*(1+'Parametri Previsione (input)'!N14))+F28</f>
        <v>619.86874999999998</v>
      </c>
      <c r="G26" s="366">
        <f>((H26-H28)*(1+'Parametri Previsione (input)'!M14))+G28</f>
        <v>604.75</v>
      </c>
      <c r="H26" s="355">
        <f>'Stato Patrimoniale (input)'!F26</f>
        <v>590</v>
      </c>
      <c r="I26" s="161"/>
      <c r="J26" s="162"/>
      <c r="K26" s="162" t="s">
        <v>18</v>
      </c>
      <c r="L26" s="162"/>
      <c r="M26" s="162"/>
      <c r="N26" s="164">
        <f>('CE Previsionale L-E (output)'!F14+'CE Previsionale L-E (output)'!F16)/360*'Parametri Previsione (input)'!N12</f>
        <v>486.19451388888893</v>
      </c>
      <c r="O26" s="164">
        <f>('CE Previsionale L-E (output)'!G14+'CE Previsionale L-E (output)'!G16)/360*'Parametri Previsione (input)'!M12</f>
        <v>478.375</v>
      </c>
      <c r="P26" s="164">
        <f>'Stato Patrimoniale (input)'!M26</f>
        <v>450</v>
      </c>
      <c r="R26" s="139"/>
    </row>
    <row r="27" spans="1:18" x14ac:dyDescent="0.2">
      <c r="A27" s="161"/>
      <c r="B27" s="162"/>
      <c r="C27" s="161"/>
      <c r="D27" s="161"/>
      <c r="E27" s="161"/>
      <c r="F27" s="355"/>
      <c r="G27" s="367"/>
      <c r="H27" s="355"/>
      <c r="I27" s="161"/>
      <c r="J27" s="162"/>
      <c r="K27" s="162"/>
      <c r="L27" s="162"/>
      <c r="M27" s="162"/>
      <c r="N27" s="164"/>
      <c r="O27" s="164"/>
      <c r="P27" s="164"/>
    </row>
    <row r="28" spans="1:18" x14ac:dyDescent="0.2">
      <c r="A28" s="161"/>
      <c r="B28" s="161"/>
      <c r="C28" s="162" t="s">
        <v>10</v>
      </c>
      <c r="D28" s="161"/>
      <c r="E28" s="161"/>
      <c r="F28" s="364">
        <f>'Parametri Previsione (input)'!N8*'CE Previsionale L-E (output)'!F10/360</f>
        <v>619.86874999999998</v>
      </c>
      <c r="G28" s="366">
        <f>'Parametri Previsione (input)'!M8*'CE Previsionale L-E (output)'!G10/360</f>
        <v>604.75</v>
      </c>
      <c r="H28" s="355">
        <f>'Stato Patrimoniale (input)'!F28</f>
        <v>590</v>
      </c>
      <c r="I28" s="161"/>
      <c r="J28" s="166"/>
      <c r="K28" s="162" t="s">
        <v>22</v>
      </c>
      <c r="L28" s="162"/>
      <c r="M28" s="162"/>
      <c r="N28" s="164">
        <f>'Parametri Previsione (input)'!N52</f>
        <v>0</v>
      </c>
      <c r="O28" s="164">
        <f>'Parametri Previsione (input)'!M52</f>
        <v>0</v>
      </c>
      <c r="P28" s="164">
        <f>'Stato Patrimoniale (input)'!M28</f>
        <v>0</v>
      </c>
    </row>
    <row r="29" spans="1:18" x14ac:dyDescent="0.2">
      <c r="A29" s="161"/>
      <c r="B29" s="161"/>
      <c r="C29" s="162"/>
      <c r="D29" s="161"/>
      <c r="E29" s="161"/>
      <c r="F29" s="355"/>
      <c r="G29" s="367"/>
      <c r="H29" s="355"/>
      <c r="I29" s="161"/>
      <c r="J29" s="162"/>
      <c r="K29" s="162"/>
      <c r="L29" s="162"/>
      <c r="M29" s="162"/>
      <c r="N29" s="164"/>
      <c r="O29" s="164"/>
      <c r="P29" s="164"/>
      <c r="R29" s="139"/>
    </row>
    <row r="30" spans="1:18" x14ac:dyDescent="0.2">
      <c r="A30" s="161"/>
      <c r="B30" s="162" t="s">
        <v>48</v>
      </c>
      <c r="C30" s="161"/>
      <c r="D30" s="161"/>
      <c r="E30" s="161"/>
      <c r="F30" s="355">
        <f>G30*(1+'Parametri Previsione (input)'!N16)</f>
        <v>10.50625</v>
      </c>
      <c r="G30" s="367">
        <f>H30*(1+'Parametri Previsione (input)'!M16)</f>
        <v>10.25</v>
      </c>
      <c r="H30" s="355">
        <f>'Stato Patrimoniale (input)'!F30</f>
        <v>10</v>
      </c>
      <c r="I30" s="161"/>
      <c r="J30" s="162" t="s">
        <v>23</v>
      </c>
      <c r="K30" s="162"/>
      <c r="L30" s="162"/>
      <c r="M30" s="162"/>
      <c r="N30" s="164">
        <f>O30*(1+'Parametri Previsione (input)'!N20)</f>
        <v>0</v>
      </c>
      <c r="O30" s="164">
        <f>P30*(1+'Parametri Previsione (input)'!M20)</f>
        <v>0</v>
      </c>
      <c r="P30" s="164">
        <f>'Stato Patrimoniale (input)'!M30</f>
        <v>0</v>
      </c>
    </row>
    <row r="31" spans="1:18" x14ac:dyDescent="0.2">
      <c r="A31" s="161"/>
      <c r="B31" s="161"/>
      <c r="C31" s="161"/>
      <c r="D31" s="161"/>
      <c r="E31" s="161"/>
      <c r="F31" s="355"/>
      <c r="G31" s="355"/>
      <c r="H31" s="355"/>
      <c r="I31" s="161"/>
      <c r="J31" s="161"/>
      <c r="K31" s="161"/>
      <c r="L31" s="161"/>
      <c r="M31" s="161"/>
      <c r="N31" s="164"/>
      <c r="O31" s="164"/>
      <c r="P31" s="164"/>
    </row>
    <row r="32" spans="1:18" x14ac:dyDescent="0.2">
      <c r="A32" s="161"/>
      <c r="B32" s="162" t="s">
        <v>11</v>
      </c>
      <c r="C32" s="162"/>
      <c r="D32" s="162"/>
      <c r="E32" s="162"/>
      <c r="F32" s="363">
        <f>F22+F26+F30</f>
        <v>1225.7291666666665</v>
      </c>
      <c r="G32" s="363">
        <f>G22+G26+G30</f>
        <v>1195.8333333333333</v>
      </c>
      <c r="H32" s="363">
        <f>H22+H26+H30</f>
        <v>1200</v>
      </c>
      <c r="I32" s="161"/>
      <c r="J32" s="162" t="s">
        <v>24</v>
      </c>
      <c r="K32" s="162"/>
      <c r="L32" s="162"/>
      <c r="M32" s="162"/>
      <c r="N32" s="165">
        <f>N22+N30</f>
        <v>507.20701388888898</v>
      </c>
      <c r="O32" s="165">
        <f>O22+O30</f>
        <v>498.875</v>
      </c>
      <c r="P32" s="165">
        <f>P22+P30</f>
        <v>1300</v>
      </c>
    </row>
    <row r="33" spans="1:16" x14ac:dyDescent="0.2">
      <c r="A33" s="161"/>
      <c r="B33" s="161"/>
      <c r="C33" s="161"/>
      <c r="D33" s="161"/>
      <c r="E33" s="161"/>
      <c r="F33" s="355"/>
      <c r="G33" s="355"/>
      <c r="H33" s="355"/>
      <c r="I33" s="161"/>
      <c r="J33" s="161"/>
      <c r="K33" s="161"/>
      <c r="L33" s="161"/>
      <c r="M33" s="161"/>
      <c r="N33" s="164"/>
      <c r="O33" s="164"/>
      <c r="P33" s="164"/>
    </row>
    <row r="34" spans="1:16" x14ac:dyDescent="0.2">
      <c r="A34" s="161"/>
      <c r="B34" s="161"/>
      <c r="C34" s="162" t="s">
        <v>12</v>
      </c>
      <c r="D34" s="161"/>
      <c r="E34" s="161"/>
      <c r="F34" s="363">
        <f>F20+F32</f>
        <v>1585.7291666666665</v>
      </c>
      <c r="G34" s="363">
        <f>G20+G32</f>
        <v>1675.8333333333333</v>
      </c>
      <c r="H34" s="363">
        <f>H20+H32</f>
        <v>1800</v>
      </c>
      <c r="I34" s="161"/>
      <c r="J34" s="161"/>
      <c r="K34" s="162" t="s">
        <v>25</v>
      </c>
      <c r="L34" s="161"/>
      <c r="M34" s="161"/>
      <c r="N34" s="165">
        <f>N20+N32</f>
        <v>1109.0818055555555</v>
      </c>
      <c r="O34" s="165">
        <f>O20+O32</f>
        <v>1023.875</v>
      </c>
      <c r="P34" s="165">
        <f>P20+P32</f>
        <v>1800</v>
      </c>
    </row>
    <row r="35" spans="1:16" x14ac:dyDescent="0.2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</row>
    <row r="36" spans="1:16" x14ac:dyDescent="0.2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</row>
    <row r="37" spans="1:16" x14ac:dyDescent="0.2">
      <c r="A37" s="161"/>
      <c r="B37" s="162" t="s">
        <v>93</v>
      </c>
      <c r="C37" s="162"/>
      <c r="D37" s="162"/>
      <c r="E37" s="162"/>
      <c r="F37" s="166">
        <f>(F34-N6-N10-N12-N22-N8-N30)-'CE Previsionale L-E (output)'!O14</f>
        <v>343.28152777777746</v>
      </c>
      <c r="G37" s="166">
        <f>(G34-O6-O10-O12-O22-O8-O30)-'CE Previsionale L-E (output)'!P14</f>
        <v>526.125</v>
      </c>
      <c r="H37" s="161"/>
      <c r="I37" s="161"/>
      <c r="J37" s="161"/>
      <c r="K37" s="161"/>
      <c r="L37" s="161"/>
      <c r="M37" s="161"/>
      <c r="N37" s="161"/>
      <c r="O37" s="161"/>
      <c r="P37" s="161"/>
    </row>
    <row r="38" spans="1:16" x14ac:dyDescent="0.2">
      <c r="A38" s="161"/>
      <c r="B38" s="162" t="s">
        <v>96</v>
      </c>
      <c r="C38" s="162"/>
      <c r="D38" s="162"/>
      <c r="E38" s="162"/>
      <c r="F38" s="166">
        <f>IF('Modello di Calcolo a Parziali'!F37&gt;0,('Modello di Calcolo a Parziali'!F37+'Modello di Calcolo a Parziali'!N12+'Modello di Calcolo a Parziali'!O12+'Modello di Calcolo a Parziali'!O24)/2,(0+'Modello di Calcolo a Parziali'!N12+'Modello di Calcolo a Parziali'!O12+'Modello di Calcolo a Parziali'!O24)/2)</f>
        <v>386.64076388888873</v>
      </c>
      <c r="G38" s="166">
        <f>IF('Modello di Calcolo a Parziali'!G37&gt;0,('Modello di Calcolo a Parziali'!G37+'Modello di Calcolo a Parziali'!O12+'Modello di Calcolo a Parziali'!P12+'Modello di Calcolo a Parziali'!P24)/2,(0+'Modello di Calcolo a Parziali'!O12+'Modello di Calcolo a Parziali'!P12+'Modello di Calcolo a Parziali'!P24)/2)</f>
        <v>868.0625</v>
      </c>
      <c r="H38" s="161"/>
      <c r="I38" s="163"/>
      <c r="J38" s="163"/>
      <c r="K38" s="365"/>
      <c r="L38" s="161"/>
      <c r="M38" s="161"/>
      <c r="N38" s="161"/>
      <c r="O38" s="161"/>
      <c r="P38" s="161"/>
    </row>
    <row r="39" spans="1:16" x14ac:dyDescent="0.2">
      <c r="A39" s="161"/>
      <c r="B39" s="162" t="s">
        <v>98</v>
      </c>
      <c r="C39" s="162"/>
      <c r="D39" s="162"/>
      <c r="E39" s="162"/>
      <c r="F39" s="166">
        <f>F37+'CE Previsionale L-E (output)'!O18-'CE Previsionale L-E (output)'!O22-'CE Previsionale L-E (output)'!O16-'CE Previsionale L-E (output)'!O28</f>
        <v>366.47997361111078</v>
      </c>
      <c r="G39" s="166">
        <f>G37+'CE Previsionale L-E (output)'!P18-'CE Previsionale L-E (output)'!P22-'CE Previsionale L-E (output)'!P16-'CE Previsionale L-E (output)'!P28</f>
        <v>578.20875000000001</v>
      </c>
      <c r="H39" s="161"/>
      <c r="I39" s="161"/>
      <c r="J39" s="161"/>
      <c r="K39" s="161"/>
      <c r="L39" s="161"/>
      <c r="M39" s="161"/>
      <c r="N39" s="161"/>
      <c r="O39" s="161"/>
      <c r="P39" s="161"/>
    </row>
    <row r="40" spans="1:16" x14ac:dyDescent="0.2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1:16" x14ac:dyDescent="0.2">
      <c r="A41" s="161"/>
      <c r="B41" s="161"/>
      <c r="C41" s="161"/>
      <c r="D41" s="161"/>
      <c r="E41" s="161"/>
      <c r="F41" s="161"/>
      <c r="G41" s="161"/>
      <c r="H41" s="163"/>
      <c r="I41" s="163"/>
      <c r="J41" s="161"/>
      <c r="K41" s="161"/>
      <c r="L41" s="161"/>
      <c r="M41" s="161"/>
      <c r="N41" s="161"/>
      <c r="O41" s="161"/>
      <c r="P41" s="161"/>
    </row>
  </sheetData>
  <phoneticPr fontId="0" type="noConversion"/>
  <pageMargins left="0.75" right="0.75" top="1" bottom="1" header="0.5" footer="0.5"/>
  <pageSetup paperSize="9" scale="8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7"/>
  <dimension ref="A1:R35"/>
  <sheetViews>
    <sheetView zoomScale="80" zoomScaleNormal="65" workbookViewId="0">
      <selection activeCell="U35" sqref="U35"/>
    </sheetView>
  </sheetViews>
  <sheetFormatPr defaultColWidth="9.140625" defaultRowHeight="12.75" x14ac:dyDescent="0.2"/>
  <cols>
    <col min="1" max="5" width="9.140625" style="3"/>
    <col min="6" max="6" width="11.42578125" style="3" customWidth="1"/>
    <col min="7" max="9" width="9.140625" style="3"/>
    <col min="10" max="10" width="4" style="3" customWidth="1"/>
    <col min="11" max="14" width="9.140625" style="3"/>
    <col min="15" max="15" width="12.5703125" style="3" customWidth="1"/>
    <col min="16" max="16" width="9.5703125" style="3" bestFit="1" customWidth="1"/>
    <col min="17" max="17" width="9.140625" style="3"/>
    <col min="18" max="18" width="9.5703125" style="3" bestFit="1" customWidth="1"/>
    <col min="19" max="16384" width="9.140625" style="3"/>
  </cols>
  <sheetData>
    <row r="1" spans="1:18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x14ac:dyDescent="0.2">
      <c r="A2" s="167" t="s">
        <v>99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6"/>
    </row>
    <row r="3" spans="1:18" ht="13.5" thickBo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ht="13.5" thickBot="1" x14ac:dyDescent="0.25">
      <c r="A4" s="156"/>
      <c r="B4" s="154" t="s">
        <v>0</v>
      </c>
      <c r="C4" s="156"/>
      <c r="D4" s="156"/>
      <c r="E4" s="156"/>
      <c r="F4" s="168">
        <f>'CE Previsionale L-E (output)'!F4</f>
        <v>2021</v>
      </c>
      <c r="G4" s="168">
        <f>'CE Previsionale L-E (output)'!G4</f>
        <v>2020</v>
      </c>
      <c r="H4" s="169">
        <f>'CE Previsionale L-E (output)'!H4</f>
        <v>2019</v>
      </c>
      <c r="I4" s="169">
        <f>'CE Previsionale L-E (output)'!I4</f>
        <v>2018</v>
      </c>
      <c r="J4" s="156"/>
      <c r="K4" s="156"/>
      <c r="L4" s="156"/>
      <c r="M4" s="156"/>
      <c r="N4" s="156"/>
      <c r="O4" s="156"/>
      <c r="P4" s="156"/>
      <c r="Q4" s="156"/>
      <c r="R4" s="156"/>
    </row>
    <row r="5" spans="1:18" ht="13.5" thickBot="1" x14ac:dyDescent="0.25">
      <c r="A5" s="156"/>
      <c r="B5" s="154"/>
      <c r="C5" s="156"/>
      <c r="D5" s="156"/>
      <c r="E5" s="156"/>
      <c r="F5" s="170"/>
      <c r="G5" s="170"/>
      <c r="H5" s="170"/>
      <c r="I5" s="170"/>
      <c r="J5" s="156"/>
      <c r="K5" s="156"/>
      <c r="L5" s="156"/>
      <c r="M5" s="156"/>
      <c r="N5" s="156"/>
      <c r="O5" s="156"/>
      <c r="P5" s="156"/>
      <c r="Q5" s="156"/>
      <c r="R5" s="156"/>
    </row>
    <row r="6" spans="1:18" ht="13.5" thickBot="1" x14ac:dyDescent="0.25">
      <c r="A6" s="156"/>
      <c r="B6" s="154" t="s">
        <v>1</v>
      </c>
      <c r="C6" s="156"/>
      <c r="D6" s="156"/>
      <c r="E6" s="156"/>
      <c r="F6" s="171">
        <f>'CE Previsionale L-E (output)'!F6</f>
        <v>12</v>
      </c>
      <c r="G6" s="171">
        <f>'CE Previsionale L-E (output)'!G6</f>
        <v>12</v>
      </c>
      <c r="H6" s="172">
        <f>'CE Previsionale L-E (output)'!H6</f>
        <v>12</v>
      </c>
      <c r="I6" s="172">
        <f>'CE Previsionale L-E (output)'!I6</f>
        <v>12</v>
      </c>
      <c r="J6" s="156"/>
      <c r="K6" s="154"/>
      <c r="L6" s="154"/>
      <c r="M6" s="154"/>
      <c r="N6" s="154"/>
      <c r="O6" s="154"/>
      <c r="P6" s="170"/>
      <c r="Q6" s="170"/>
      <c r="R6" s="156"/>
    </row>
    <row r="7" spans="1:18" x14ac:dyDescent="0.2">
      <c r="A7" s="156"/>
      <c r="B7" s="156"/>
      <c r="C7" s="156"/>
      <c r="D7" s="156"/>
      <c r="E7" s="156"/>
      <c r="F7" s="170"/>
      <c r="G7" s="170"/>
      <c r="H7" s="170"/>
      <c r="I7" s="170"/>
      <c r="J7" s="156"/>
      <c r="K7" s="154"/>
      <c r="L7" s="154"/>
      <c r="M7" s="154"/>
      <c r="N7" s="154"/>
      <c r="O7" s="154"/>
      <c r="P7" s="170"/>
      <c r="Q7" s="170"/>
      <c r="R7" s="156"/>
    </row>
    <row r="8" spans="1:18" x14ac:dyDescent="0.2">
      <c r="A8" s="156"/>
      <c r="B8" s="156"/>
      <c r="C8" s="156"/>
      <c r="D8" s="156"/>
      <c r="E8" s="156"/>
      <c r="F8" s="170"/>
      <c r="G8" s="170"/>
      <c r="H8" s="170"/>
      <c r="I8" s="170"/>
      <c r="J8" s="156"/>
      <c r="K8" s="154"/>
      <c r="L8" s="154"/>
      <c r="M8" s="154"/>
      <c r="N8" s="154"/>
      <c r="O8" s="154"/>
      <c r="P8" s="170"/>
      <c r="Q8" s="170"/>
      <c r="R8" s="156"/>
    </row>
    <row r="9" spans="1:18" x14ac:dyDescent="0.2">
      <c r="A9" s="156"/>
      <c r="B9" s="156"/>
      <c r="C9" s="156"/>
      <c r="D9" s="156"/>
      <c r="E9" s="156"/>
      <c r="F9" s="170"/>
      <c r="G9" s="170"/>
      <c r="H9" s="170"/>
      <c r="I9" s="170"/>
      <c r="J9" s="156"/>
      <c r="K9" s="154"/>
      <c r="L9" s="154"/>
      <c r="M9" s="154"/>
      <c r="N9" s="154"/>
      <c r="O9" s="154"/>
      <c r="P9" s="170"/>
      <c r="Q9" s="170"/>
      <c r="R9" s="156"/>
    </row>
    <row r="10" spans="1:18" x14ac:dyDescent="0.2">
      <c r="A10" s="156"/>
      <c r="B10" s="156"/>
      <c r="C10" s="156"/>
      <c r="D10" s="156"/>
      <c r="E10" s="156"/>
      <c r="F10" s="170"/>
      <c r="G10" s="170"/>
      <c r="H10" s="170"/>
      <c r="I10" s="170"/>
      <c r="J10" s="156"/>
      <c r="K10" s="154"/>
      <c r="L10" s="154"/>
      <c r="M10" s="154"/>
      <c r="N10" s="154"/>
      <c r="O10" s="154"/>
      <c r="P10" s="170"/>
      <c r="Q10" s="170"/>
      <c r="R10" s="156"/>
    </row>
    <row r="11" spans="1:18" ht="13.5" thickBot="1" x14ac:dyDescent="0.25">
      <c r="A11" s="156"/>
      <c r="B11" s="156"/>
      <c r="C11" s="156"/>
      <c r="D11" s="156"/>
      <c r="E11" s="156"/>
      <c r="F11" s="170"/>
      <c r="G11" s="170"/>
      <c r="H11" s="170"/>
      <c r="I11" s="170"/>
      <c r="J11" s="156"/>
      <c r="K11" s="154"/>
      <c r="L11" s="154"/>
      <c r="M11" s="154"/>
      <c r="N11" s="154"/>
      <c r="O11" s="154"/>
      <c r="P11" s="170"/>
      <c r="Q11" s="170"/>
      <c r="R11" s="156"/>
    </row>
    <row r="12" spans="1:18" ht="13.5" thickBot="1" x14ac:dyDescent="0.25">
      <c r="A12" s="156"/>
      <c r="B12" s="154" t="s">
        <v>100</v>
      </c>
      <c r="C12" s="156"/>
      <c r="D12" s="156"/>
      <c r="E12" s="156"/>
      <c r="F12" s="173">
        <f>('SP Previsionale L-E (output)'!F34/'SP Previsionale L-E (output)'!O6)*100</f>
        <v>450.54437735444799</v>
      </c>
      <c r="G12" s="173">
        <f>('SP Previsionale L-E (output)'!G34/'SP Previsionale L-E (output)'!P6)*100</f>
        <v>627.94740667244866</v>
      </c>
      <c r="H12" s="174">
        <f>('SP Previsionale L-E (output)'!H34/'SP Previsionale L-E (output)'!Q6)*100</f>
        <v>900</v>
      </c>
      <c r="I12" s="174">
        <f>('SP Previsionale L-E (output)'!I34/'SP Previsionale L-E (output)'!R6)*100</f>
        <v>900</v>
      </c>
      <c r="J12" s="156"/>
      <c r="K12" s="154" t="s">
        <v>106</v>
      </c>
      <c r="L12" s="154"/>
      <c r="M12" s="154"/>
      <c r="N12" s="154"/>
      <c r="O12" s="171">
        <f>(('SP Previsionale L-E (output)'!O26)/('CE Previsionale L-E (output)'!F14+'CE Previsionale L-E (output)'!F16))*360</f>
        <v>205</v>
      </c>
      <c r="P12" s="171">
        <f>(('SP Previsionale L-E (output)'!P26)/('CE Previsionale L-E (output)'!G14+'CE Previsionale L-E (output)'!G16))*360</f>
        <v>215</v>
      </c>
      <c r="Q12" s="175">
        <f>(('SP Previsionale L-E (output)'!Q26)/('CE Previsionale L-E (output)'!H14+'CE Previsionale L-E (output)'!H16))*360</f>
        <v>231.42857142857144</v>
      </c>
      <c r="R12" s="175">
        <f>(('SP Previsionale L-E (output)'!R26)/('CE Previsionale L-E (output)'!I14+'CE Previsionale L-E (output)'!I16))*360</f>
        <v>231.42857142857144</v>
      </c>
    </row>
    <row r="13" spans="1:18" ht="13.5" thickBot="1" x14ac:dyDescent="0.25">
      <c r="A13" s="156"/>
      <c r="B13" s="154"/>
      <c r="C13" s="156"/>
      <c r="D13" s="156"/>
      <c r="E13" s="156"/>
      <c r="F13" s="176"/>
      <c r="G13" s="176"/>
      <c r="H13" s="176"/>
      <c r="I13" s="176"/>
      <c r="J13" s="156"/>
      <c r="K13" s="154"/>
      <c r="L13" s="154"/>
      <c r="M13" s="154"/>
      <c r="N13" s="154"/>
      <c r="O13" s="170"/>
      <c r="P13" s="170"/>
      <c r="Q13" s="170"/>
      <c r="R13" s="170"/>
    </row>
    <row r="14" spans="1:18" ht="13.5" thickBot="1" x14ac:dyDescent="0.25">
      <c r="A14" s="156"/>
      <c r="B14" s="154" t="s">
        <v>101</v>
      </c>
      <c r="C14" s="156"/>
      <c r="D14" s="156"/>
      <c r="E14" s="156"/>
      <c r="F14" s="177">
        <f>('SP Previsionale L-E (output)'!F32/'SP Previsionale L-E (output)'!O32)*100</f>
        <v>131.97328376225235</v>
      </c>
      <c r="G14" s="177">
        <f>('SP Previsionale L-E (output)'!G32/'SP Previsionale L-E (output)'!P32)*100</f>
        <v>107.34989576399929</v>
      </c>
      <c r="H14" s="178">
        <f>('SP Previsionale L-E (output)'!H32/'SP Previsionale L-E (output)'!Q32)*100</f>
        <v>92.307692307692307</v>
      </c>
      <c r="I14" s="178">
        <f>('SP Previsionale L-E (output)'!I32/'SP Previsionale L-E (output)'!R32)*100</f>
        <v>92.307692307692307</v>
      </c>
      <c r="J14" s="156"/>
      <c r="K14" s="154" t="s">
        <v>107</v>
      </c>
      <c r="L14" s="154"/>
      <c r="M14" s="154"/>
      <c r="N14" s="154"/>
      <c r="O14" s="171">
        <f>('CE Previsionale L-E (output)'!F10/'SP Previsionale L-E (output)'!F32)*100</f>
        <v>102.85714285714288</v>
      </c>
      <c r="P14" s="171">
        <f>('CE Previsionale L-E (output)'!G10/'SP Previsionale L-E (output)'!G32)*100</f>
        <v>102.85714285714288</v>
      </c>
      <c r="Q14" s="175">
        <f>('CE Previsionale L-E (output)'!H10/'SP Previsionale L-E (output)'!H32)*100</f>
        <v>100</v>
      </c>
      <c r="R14" s="175">
        <f>('CE Previsionale L-E (output)'!I10/'SP Previsionale L-E (output)'!I32)*100</f>
        <v>100</v>
      </c>
    </row>
    <row r="15" spans="1:18" ht="13.5" thickBot="1" x14ac:dyDescent="0.25">
      <c r="A15" s="156"/>
      <c r="B15" s="156"/>
      <c r="C15" s="156"/>
      <c r="D15" s="156"/>
      <c r="E15" s="156"/>
      <c r="F15" s="176"/>
      <c r="G15" s="176"/>
      <c r="H15" s="176"/>
      <c r="I15" s="176"/>
      <c r="J15" s="156"/>
      <c r="K15" s="154"/>
      <c r="L15" s="154"/>
      <c r="M15" s="154"/>
      <c r="N15" s="154"/>
      <c r="O15" s="170"/>
      <c r="P15" s="170"/>
      <c r="Q15" s="170"/>
      <c r="R15" s="170"/>
    </row>
    <row r="16" spans="1:18" ht="13.5" thickBot="1" x14ac:dyDescent="0.25">
      <c r="A16" s="156"/>
      <c r="B16" s="154" t="s">
        <v>102</v>
      </c>
      <c r="C16" s="156"/>
      <c r="D16" s="156"/>
      <c r="E16" s="156"/>
      <c r="F16" s="177">
        <f>(('SP Previsionale L-E (output)'!F32-'SP Previsionale L-E (output)'!F22)/'SP Previsionale L-E (output)'!O32)*100</f>
        <v>67.8719745063012</v>
      </c>
      <c r="G16" s="177">
        <f>(('SP Previsionale L-E (output)'!G32-'SP Previsionale L-E (output)'!G22)/'SP Previsionale L-E (output)'!P32)*100</f>
        <v>55.208517821485358</v>
      </c>
      <c r="H16" s="178">
        <f>(('SP Previsionale L-E (output)'!H32-'SP Previsionale L-E (output)'!H22)/'SP Previsionale L-E (output)'!Q32)*100</f>
        <v>46.153846153846153</v>
      </c>
      <c r="I16" s="178">
        <f>(('SP Previsionale L-E (output)'!I32-'SP Previsionale L-E (output)'!I22)/'SP Previsionale L-E (output)'!R32)*100</f>
        <v>46.153846153846153</v>
      </c>
      <c r="J16" s="156"/>
      <c r="K16" s="154" t="s">
        <v>108</v>
      </c>
      <c r="L16" s="154"/>
      <c r="M16" s="154"/>
      <c r="N16" s="154"/>
      <c r="O16" s="179">
        <f>('CE Previsionale L-E (output)'!F30/'SP Previsionale L-E (output)'!F34)*100</f>
        <v>10.932877882152017</v>
      </c>
      <c r="P16" s="179">
        <f>('CE Previsionale L-E (output)'!G30/'SP Previsionale L-E (output)'!G34)*100</f>
        <v>9.8955743411238153</v>
      </c>
      <c r="Q16" s="180">
        <f>('CE Previsionale L-E (output)'!H30/'SP Previsionale L-E (output)'!H34)*100</f>
        <v>8.8888888888888893</v>
      </c>
      <c r="R16" s="180">
        <f>('CE Previsionale L-E (output)'!I30/'SP Previsionale L-E (output)'!I34)*100</f>
        <v>8.8888888888888893</v>
      </c>
    </row>
    <row r="17" spans="1:18" ht="13.5" thickBot="1" x14ac:dyDescent="0.25">
      <c r="A17" s="156"/>
      <c r="B17" s="154"/>
      <c r="C17" s="156"/>
      <c r="D17" s="156"/>
      <c r="E17" s="156"/>
      <c r="F17" s="176"/>
      <c r="G17" s="176"/>
      <c r="H17" s="176"/>
      <c r="I17" s="176"/>
      <c r="J17" s="156"/>
      <c r="K17" s="154"/>
      <c r="L17" s="154"/>
      <c r="M17" s="154"/>
      <c r="N17" s="154"/>
      <c r="O17" s="170"/>
      <c r="P17" s="170"/>
      <c r="Q17" s="170"/>
      <c r="R17" s="156"/>
    </row>
    <row r="18" spans="1:18" ht="13.5" thickBot="1" x14ac:dyDescent="0.25">
      <c r="A18" s="156"/>
      <c r="B18" s="154" t="s">
        <v>103</v>
      </c>
      <c r="C18" s="154"/>
      <c r="D18" s="156"/>
      <c r="E18" s="156"/>
      <c r="F18" s="177">
        <f>('SP Previsionale L-E (output)'!O32/'CE Previsionale L-E (output)'!F10)*100</f>
        <v>73.668108764624222</v>
      </c>
      <c r="G18" s="177">
        <f>('SP Previsionale L-E (output)'!P32/'CE Previsionale L-E (output)'!G10)*100</f>
        <v>90.565735094850936</v>
      </c>
      <c r="H18" s="178">
        <f>('SP Previsionale L-E (output)'!Q32/'CE Previsionale L-E (output)'!H10)*100</f>
        <v>108.33333333333333</v>
      </c>
      <c r="I18" s="178">
        <f>('SP Previsionale L-E (output)'!R32/'CE Previsionale L-E (output)'!I10)*100</f>
        <v>108.33333333333333</v>
      </c>
      <c r="J18" s="156"/>
      <c r="K18" s="154" t="s">
        <v>109</v>
      </c>
      <c r="L18" s="154"/>
      <c r="M18" s="154"/>
      <c r="N18" s="154"/>
      <c r="O18" s="171">
        <f>('CE Previsionale L-E (output)'!F10/'CE Previsionale L-E (output)'!G10-1)*100</f>
        <v>2.4999999999999911</v>
      </c>
      <c r="P18" s="171">
        <f>('CE Previsionale L-E (output)'!G10/'CE Previsionale L-E (output)'!H10-1)*100</f>
        <v>2.4999999999999911</v>
      </c>
      <c r="Q18" s="171">
        <f>('CE Previsionale L-E (output)'!H10/'CE Previsionale L-E (output)'!I10-1)*100</f>
        <v>0</v>
      </c>
      <c r="R18" s="156"/>
    </row>
    <row r="19" spans="1:18" ht="13.5" thickBot="1" x14ac:dyDescent="0.25">
      <c r="A19" s="156"/>
      <c r="B19" s="156"/>
      <c r="C19" s="156"/>
      <c r="D19" s="156"/>
      <c r="E19" s="156"/>
      <c r="F19" s="170"/>
      <c r="G19" s="170"/>
      <c r="H19" s="170"/>
      <c r="I19" s="170"/>
      <c r="J19" s="156"/>
      <c r="K19" s="154"/>
      <c r="L19" s="154"/>
      <c r="M19" s="154"/>
      <c r="N19" s="154"/>
      <c r="O19" s="170"/>
      <c r="P19" s="170"/>
      <c r="Q19" s="170"/>
      <c r="R19" s="156"/>
    </row>
    <row r="20" spans="1:18" ht="13.5" thickBot="1" x14ac:dyDescent="0.25">
      <c r="A20" s="156"/>
      <c r="B20" s="154" t="s">
        <v>104</v>
      </c>
      <c r="C20" s="154"/>
      <c r="D20" s="154"/>
      <c r="E20" s="154"/>
      <c r="F20" s="171">
        <f>('SP Previsionale L-E (output)'!F22/'CE Previsionale L-E (output)'!F10)*360</f>
        <v>170</v>
      </c>
      <c r="G20" s="171">
        <f>('SP Previsionale L-E (output)'!G22/'CE Previsionale L-E (output)'!G10)*360</f>
        <v>169.99999999999997</v>
      </c>
      <c r="H20" s="157">
        <f>('SP Previsionale L-E (output)'!H22/'CE Previsionale L-E (output)'!H10)*360</f>
        <v>180</v>
      </c>
      <c r="I20" s="157">
        <f>('SP Previsionale L-E (output)'!I22/'CE Previsionale L-E (output)'!I10)*360</f>
        <v>180</v>
      </c>
      <c r="J20" s="156"/>
      <c r="K20" s="154" t="s">
        <v>110</v>
      </c>
      <c r="L20" s="154"/>
      <c r="M20" s="154"/>
      <c r="N20" s="154"/>
      <c r="O20" s="171">
        <f>('SP Previsionale L-E (output)'!O6/'SP Previsionale L-E (output)'!P6-1)*100</f>
        <v>31.881502639736681</v>
      </c>
      <c r="P20" s="171">
        <f>('SP Previsionale L-E (output)'!P6/'SP Previsionale L-E (output)'!Q6-1)*100</f>
        <v>33.437395833333319</v>
      </c>
      <c r="Q20" s="171">
        <f>('SP Previsionale L-E (output)'!Q6/'SP Previsionale L-E (output)'!R6-1)*100</f>
        <v>0</v>
      </c>
      <c r="R20" s="156"/>
    </row>
    <row r="21" spans="1:18" ht="13.5" thickBot="1" x14ac:dyDescent="0.25">
      <c r="A21" s="156"/>
      <c r="B21" s="156"/>
      <c r="C21" s="156"/>
      <c r="D21" s="156"/>
      <c r="E21" s="156"/>
      <c r="F21" s="170"/>
      <c r="G21" s="170"/>
      <c r="H21" s="170"/>
      <c r="I21" s="170"/>
      <c r="J21" s="156"/>
      <c r="K21" s="156"/>
      <c r="L21" s="156"/>
      <c r="M21" s="156"/>
      <c r="N21" s="156"/>
      <c r="O21" s="170"/>
      <c r="P21" s="170"/>
      <c r="Q21" s="170"/>
      <c r="R21" s="156"/>
    </row>
    <row r="22" spans="1:18" ht="13.5" thickBot="1" x14ac:dyDescent="0.25">
      <c r="A22" s="156"/>
      <c r="B22" s="154" t="s">
        <v>105</v>
      </c>
      <c r="C22" s="156"/>
      <c r="D22" s="156"/>
      <c r="E22" s="156"/>
      <c r="F22" s="171">
        <f>('SP Previsionale L-E (output)'!F28/'CE Previsionale L-E (output)'!F10)*360</f>
        <v>177</v>
      </c>
      <c r="G22" s="171">
        <f>('SP Previsionale L-E (output)'!G28/'CE Previsionale L-E (output)'!G10)*360</f>
        <v>177</v>
      </c>
      <c r="H22" s="172">
        <f>('SP Previsionale L-E (output)'!H28/'CE Previsionale L-E (output)'!H10)*360</f>
        <v>177</v>
      </c>
      <c r="I22" s="172">
        <f>('SP Previsionale L-E (output)'!I28/'CE Previsionale L-E (output)'!I10)*360</f>
        <v>177</v>
      </c>
      <c r="J22" s="156"/>
      <c r="K22" s="154" t="s">
        <v>111</v>
      </c>
      <c r="L22" s="154"/>
      <c r="M22" s="154"/>
      <c r="N22" s="154"/>
      <c r="O22" s="171">
        <f>'CE Previsionale L-E (output)'!O30+'CE Previsionale L-E (output)'!O12+'CE Previsionale L-E (output)'!F26</f>
        <v>175.08369375000007</v>
      </c>
      <c r="P22" s="171">
        <f>'CE Previsionale L-E (output)'!P30+'CE Previsionale L-E (output)'!P12+'CE Previsionale L-E (output)'!G26</f>
        <v>156.87479166666662</v>
      </c>
      <c r="Q22" s="175">
        <f>'CE Previsionale L-E (output)'!Q30+'CE Previsionale L-E (output)'!Q12+'CE Previsionale L-E (output)'!H26</f>
        <v>150</v>
      </c>
      <c r="R22" s="175">
        <f>'CE Previsionale L-E (output)'!R30+'CE Previsionale L-E (output)'!R12+'CE Previsionale L-E (output)'!I26</f>
        <v>150</v>
      </c>
    </row>
    <row r="23" spans="1:18" ht="13.5" thickBot="1" x14ac:dyDescent="0.25">
      <c r="A23" s="156"/>
      <c r="B23" s="154"/>
      <c r="C23" s="156"/>
      <c r="D23" s="156"/>
      <c r="E23" s="156"/>
      <c r="F23" s="156"/>
      <c r="G23" s="170"/>
      <c r="H23" s="170"/>
      <c r="I23" s="170"/>
      <c r="J23" s="156"/>
      <c r="K23" s="154"/>
      <c r="L23" s="154"/>
      <c r="M23" s="154"/>
      <c r="N23" s="154"/>
      <c r="O23" s="156"/>
      <c r="P23" s="170"/>
      <c r="Q23" s="170"/>
      <c r="R23" s="156"/>
    </row>
    <row r="24" spans="1:18" ht="13.5" thickBot="1" x14ac:dyDescent="0.25">
      <c r="A24" s="156"/>
      <c r="B24" s="154"/>
      <c r="C24" s="154"/>
      <c r="D24" s="156"/>
      <c r="E24" s="156"/>
      <c r="F24" s="156"/>
      <c r="G24" s="170"/>
      <c r="H24" s="170"/>
      <c r="I24" s="170"/>
      <c r="J24" s="156"/>
      <c r="K24" s="154" t="s">
        <v>134</v>
      </c>
      <c r="L24" s="154"/>
      <c r="M24" s="154"/>
      <c r="N24" s="154"/>
      <c r="O24" s="181">
        <f>('CE Previsionale L-E (output)'!F14-'CE Previsionale L-E (output)'!F12)/'CE Previsionale L-E (output)'!F10</f>
        <v>0.49903562694163528</v>
      </c>
      <c r="P24" s="181">
        <f>('CE Previsionale L-E (output)'!G14-'CE Previsionale L-E (output)'!G12)/'CE Previsionale L-E (output)'!G10</f>
        <v>0.50013550135501361</v>
      </c>
      <c r="Q24" s="182">
        <f>('CE Previsionale L-E (output)'!H14-'CE Previsionale L-E (output)'!H12)/'CE Previsionale L-E (output)'!H10</f>
        <v>0.5</v>
      </c>
      <c r="R24" s="182">
        <f>('CE Previsionale L-E (output)'!I14-'CE Previsionale L-E (output)'!I12)/'CE Previsionale L-E (output)'!I10</f>
        <v>0.5</v>
      </c>
    </row>
    <row r="25" spans="1:18" x14ac:dyDescent="0.2">
      <c r="A25" s="156"/>
      <c r="B25" s="156"/>
      <c r="C25" s="156"/>
      <c r="D25" s="156"/>
      <c r="E25" s="156"/>
      <c r="F25" s="156"/>
      <c r="G25" s="170"/>
      <c r="H25" s="170"/>
      <c r="I25" s="170"/>
      <c r="J25" s="156"/>
      <c r="K25" s="154"/>
      <c r="L25" s="154"/>
      <c r="M25" s="154"/>
      <c r="N25" s="154"/>
      <c r="O25" s="156"/>
      <c r="P25" s="170"/>
      <c r="Q25" s="170"/>
      <c r="R25" s="156"/>
    </row>
    <row r="26" spans="1:18" x14ac:dyDescent="0.2">
      <c r="A26" s="156"/>
      <c r="B26" s="154"/>
      <c r="C26" s="156"/>
      <c r="D26" s="156"/>
      <c r="E26" s="156"/>
      <c r="F26" s="156"/>
      <c r="G26" s="170"/>
      <c r="H26" s="170"/>
      <c r="I26" s="170"/>
      <c r="J26" s="156"/>
      <c r="K26" s="154"/>
      <c r="L26" s="154"/>
      <c r="M26" s="154"/>
      <c r="N26" s="154"/>
      <c r="O26" s="156"/>
      <c r="P26" s="170"/>
      <c r="Q26" s="170"/>
      <c r="R26" s="156"/>
    </row>
    <row r="27" spans="1:18" x14ac:dyDescent="0.2">
      <c r="A27" s="156"/>
      <c r="B27" s="154"/>
      <c r="C27" s="156"/>
      <c r="D27" s="156"/>
      <c r="E27" s="156"/>
      <c r="F27" s="156"/>
      <c r="G27" s="170"/>
      <c r="H27" s="170"/>
      <c r="I27" s="170"/>
      <c r="J27" s="156"/>
      <c r="K27" s="154"/>
      <c r="L27" s="154"/>
      <c r="M27" s="154"/>
      <c r="N27" s="154"/>
      <c r="O27" s="156"/>
      <c r="P27" s="170"/>
      <c r="Q27" s="170"/>
      <c r="R27" s="156"/>
    </row>
    <row r="28" spans="1:18" x14ac:dyDescent="0.2">
      <c r="A28" s="156"/>
      <c r="B28" s="154"/>
      <c r="C28" s="156"/>
      <c r="D28" s="156"/>
      <c r="E28" s="156"/>
      <c r="F28" s="156"/>
      <c r="G28" s="170"/>
      <c r="H28" s="170"/>
      <c r="I28" s="170"/>
      <c r="J28" s="156"/>
      <c r="K28" s="154"/>
      <c r="L28" s="154"/>
      <c r="M28" s="154"/>
      <c r="N28" s="154"/>
      <c r="O28" s="156"/>
      <c r="P28" s="170"/>
      <c r="Q28" s="170"/>
      <c r="R28" s="156"/>
    </row>
    <row r="29" spans="1:18" x14ac:dyDescent="0.2">
      <c r="A29" s="156"/>
      <c r="B29" s="156"/>
      <c r="C29" s="156"/>
      <c r="D29" s="156"/>
      <c r="E29" s="156"/>
      <c r="F29" s="156"/>
      <c r="G29" s="170"/>
      <c r="H29" s="170"/>
      <c r="I29" s="170"/>
      <c r="J29" s="156"/>
      <c r="K29" s="156"/>
      <c r="L29" s="156"/>
      <c r="M29" s="156"/>
      <c r="N29" s="156"/>
      <c r="O29" s="156"/>
      <c r="P29" s="170"/>
      <c r="Q29" s="170"/>
      <c r="R29" s="156"/>
    </row>
    <row r="30" spans="1:18" x14ac:dyDescent="0.2">
      <c r="A30" s="156"/>
      <c r="B30" s="159"/>
      <c r="C30" s="159"/>
      <c r="D30" s="159"/>
      <c r="E30" s="159"/>
      <c r="F30" s="160"/>
      <c r="G30" s="183"/>
      <c r="H30" s="183"/>
      <c r="I30" s="183"/>
      <c r="J30" s="156"/>
      <c r="K30" s="159"/>
      <c r="L30" s="159"/>
      <c r="M30" s="159"/>
      <c r="N30" s="159"/>
      <c r="O30" s="160"/>
      <c r="P30" s="183"/>
      <c r="Q30" s="183"/>
      <c r="R30" s="156"/>
    </row>
    <row r="31" spans="1:18" x14ac:dyDescent="0.2">
      <c r="A31" s="156"/>
      <c r="B31" s="156"/>
      <c r="C31" s="156"/>
      <c r="D31" s="156"/>
      <c r="E31" s="156"/>
      <c r="F31" s="156"/>
      <c r="G31" s="170"/>
      <c r="H31" s="170"/>
      <c r="I31" s="170"/>
      <c r="J31" s="156"/>
      <c r="K31" s="156"/>
      <c r="L31" s="156"/>
      <c r="M31" s="156"/>
      <c r="N31" s="156"/>
      <c r="O31" s="156"/>
      <c r="P31" s="170"/>
      <c r="Q31" s="170"/>
      <c r="R31" s="156"/>
    </row>
    <row r="32" spans="1:18" x14ac:dyDescent="0.2">
      <c r="A32" s="156"/>
      <c r="B32" s="156"/>
      <c r="C32" s="154"/>
      <c r="D32" s="156"/>
      <c r="E32" s="156"/>
      <c r="F32" s="156"/>
      <c r="G32" s="183"/>
      <c r="H32" s="183"/>
      <c r="I32" s="183"/>
      <c r="J32" s="156"/>
      <c r="K32" s="156"/>
      <c r="L32" s="154"/>
      <c r="M32" s="156"/>
      <c r="N32" s="156"/>
      <c r="O32" s="156"/>
      <c r="P32" s="183"/>
      <c r="Q32" s="183"/>
      <c r="R32" s="156"/>
    </row>
    <row r="33" spans="1:18" x14ac:dyDescent="0.2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</row>
    <row r="34" spans="1:18" ht="13.5" thickBot="1" x14ac:dyDescent="0.25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</row>
    <row r="35" spans="1:18" ht="13.5" thickTop="1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</sheetData>
  <phoneticPr fontId="0" type="noConversion"/>
  <pageMargins left="0.75" right="0.75" top="1" bottom="1" header="0.5" footer="0.5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ED30-0762-4552-9DF5-E63B0F6E116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Q47"/>
  <sheetViews>
    <sheetView tabSelected="1" view="pageBreakPreview" zoomScale="75" zoomScaleNormal="75" zoomScaleSheetLayoutView="75" workbookViewId="0">
      <selection activeCell="F36" sqref="F36"/>
    </sheetView>
  </sheetViews>
  <sheetFormatPr defaultColWidth="14.85546875" defaultRowHeight="12.75" x14ac:dyDescent="0.2"/>
  <cols>
    <col min="1" max="1" width="9.140625" style="94" customWidth="1"/>
    <col min="2" max="11" width="14.85546875" style="94"/>
    <col min="12" max="12" width="12.140625" style="94" customWidth="1"/>
    <col min="13" max="14" width="14.85546875" style="94"/>
    <col min="15" max="15" width="10.7109375" style="94" customWidth="1"/>
    <col min="16" max="16384" width="14.85546875" style="94"/>
  </cols>
  <sheetData>
    <row r="1" spans="1:17" s="217" customFormat="1" x14ac:dyDescent="0.2"/>
    <row r="2" spans="1:17" s="216" customFormat="1" ht="26.25" x14ac:dyDescent="0.4">
      <c r="A2" s="214" t="s">
        <v>209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7" ht="13.5" thickBot="1" x14ac:dyDescent="0.25"/>
    <row r="4" spans="1:17" ht="13.5" thickBot="1" x14ac:dyDescent="0.25">
      <c r="B4" s="63" t="s">
        <v>0</v>
      </c>
      <c r="F4" s="133">
        <v>2019</v>
      </c>
      <c r="G4" s="274">
        <v>2018</v>
      </c>
      <c r="M4" s="133">
        <f>F4</f>
        <v>2019</v>
      </c>
      <c r="N4" s="133">
        <f>G4</f>
        <v>2018</v>
      </c>
    </row>
    <row r="5" spans="1:17" ht="13.5" thickBot="1" x14ac:dyDescent="0.25">
      <c r="B5" s="63"/>
      <c r="F5" s="92"/>
      <c r="G5" s="92"/>
    </row>
    <row r="6" spans="1:17" ht="13.5" thickBot="1" x14ac:dyDescent="0.25">
      <c r="B6" s="63" t="s">
        <v>1</v>
      </c>
      <c r="F6" s="88">
        <v>12</v>
      </c>
      <c r="G6" s="88">
        <v>12</v>
      </c>
      <c r="I6" s="63" t="s">
        <v>115</v>
      </c>
      <c r="J6" s="63"/>
      <c r="K6" s="63"/>
      <c r="L6" s="63"/>
      <c r="M6" s="88">
        <v>200</v>
      </c>
      <c r="N6" s="88">
        <v>200</v>
      </c>
      <c r="P6" s="25"/>
    </row>
    <row r="7" spans="1:17" ht="13.5" thickBot="1" x14ac:dyDescent="0.25">
      <c r="F7" s="92"/>
      <c r="G7" s="92"/>
      <c r="I7" s="63"/>
      <c r="J7" s="63"/>
      <c r="K7" s="63"/>
      <c r="L7" s="63"/>
      <c r="M7" s="92"/>
      <c r="N7" s="92"/>
      <c r="P7" s="25"/>
    </row>
    <row r="8" spans="1:17" ht="13.5" thickBot="1" x14ac:dyDescent="0.25">
      <c r="F8" s="92"/>
      <c r="G8" s="92"/>
      <c r="I8" s="63" t="s">
        <v>14</v>
      </c>
      <c r="J8" s="63"/>
      <c r="K8" s="63"/>
      <c r="L8" s="63"/>
      <c r="M8" s="88">
        <v>0</v>
      </c>
      <c r="N8" s="88">
        <v>0</v>
      </c>
    </row>
    <row r="9" spans="1:17" ht="13.5" thickBot="1" x14ac:dyDescent="0.25">
      <c r="F9" s="92"/>
      <c r="G9" s="92"/>
      <c r="I9" s="63"/>
      <c r="J9" s="63"/>
      <c r="K9" s="63"/>
      <c r="L9" s="63"/>
      <c r="M9" s="92"/>
      <c r="N9" s="92"/>
    </row>
    <row r="10" spans="1:17" ht="13.5" thickBot="1" x14ac:dyDescent="0.25">
      <c r="B10" s="63" t="s">
        <v>2</v>
      </c>
      <c r="F10" s="88">
        <v>100</v>
      </c>
      <c r="G10" s="88">
        <v>100</v>
      </c>
      <c r="I10" s="63" t="s">
        <v>15</v>
      </c>
      <c r="J10" s="63"/>
      <c r="K10" s="63"/>
      <c r="L10" s="63"/>
      <c r="M10" s="88">
        <v>100</v>
      </c>
      <c r="N10" s="88">
        <v>100</v>
      </c>
      <c r="Q10" s="96"/>
    </row>
    <row r="11" spans="1:17" ht="13.5" thickBot="1" x14ac:dyDescent="0.25">
      <c r="B11" s="63"/>
      <c r="F11" s="92"/>
      <c r="G11" s="92"/>
      <c r="I11" s="63"/>
      <c r="J11" s="63"/>
      <c r="K11" s="63"/>
      <c r="L11" s="63"/>
      <c r="M11" s="92"/>
      <c r="N11" s="92"/>
    </row>
    <row r="12" spans="1:17" ht="13.5" thickBot="1" x14ac:dyDescent="0.25">
      <c r="B12" s="63" t="s">
        <v>112</v>
      </c>
      <c r="F12" s="88">
        <v>500</v>
      </c>
      <c r="G12" s="88">
        <v>500</v>
      </c>
      <c r="I12" s="63" t="s">
        <v>16</v>
      </c>
      <c r="J12" s="63"/>
      <c r="K12" s="63"/>
      <c r="L12" s="63"/>
      <c r="M12" s="350">
        <f>M14+M16+M18</f>
        <v>200</v>
      </c>
      <c r="N12" s="350">
        <f>N14+N16+N18</f>
        <v>200</v>
      </c>
    </row>
    <row r="13" spans="1:17" ht="13.5" thickBot="1" x14ac:dyDescent="0.25">
      <c r="F13" s="92"/>
      <c r="G13" s="92"/>
      <c r="I13" s="63"/>
      <c r="J13" s="63"/>
      <c r="K13" s="63"/>
      <c r="L13" s="63"/>
      <c r="M13" s="92"/>
      <c r="N13" s="92"/>
    </row>
    <row r="14" spans="1:17" ht="13.5" thickBot="1" x14ac:dyDescent="0.25">
      <c r="B14" s="63" t="s">
        <v>4</v>
      </c>
      <c r="F14" s="88"/>
      <c r="G14" s="88"/>
      <c r="I14" s="63"/>
      <c r="J14" s="63" t="s">
        <v>17</v>
      </c>
      <c r="K14" s="63"/>
      <c r="L14" s="63"/>
      <c r="M14" s="88">
        <v>180</v>
      </c>
      <c r="N14" s="88">
        <v>180</v>
      </c>
    </row>
    <row r="15" spans="1:17" ht="13.5" thickBot="1" x14ac:dyDescent="0.25">
      <c r="B15" s="63"/>
      <c r="F15" s="92"/>
      <c r="G15" s="92"/>
      <c r="I15" s="63"/>
      <c r="J15" s="63"/>
      <c r="K15" s="63"/>
      <c r="L15" s="63"/>
      <c r="M15" s="92"/>
      <c r="N15" s="92"/>
    </row>
    <row r="16" spans="1:17" ht="13.5" thickBot="1" x14ac:dyDescent="0.25">
      <c r="C16" s="63" t="s">
        <v>5</v>
      </c>
      <c r="F16" s="88"/>
      <c r="G16" s="88"/>
      <c r="I16" s="63"/>
      <c r="J16" s="63" t="s">
        <v>144</v>
      </c>
      <c r="K16" s="63"/>
      <c r="L16" s="63"/>
      <c r="M16" s="88">
        <v>0</v>
      </c>
      <c r="N16" s="88">
        <v>0</v>
      </c>
    </row>
    <row r="17" spans="2:17" ht="13.5" thickBot="1" x14ac:dyDescent="0.25">
      <c r="C17" s="63"/>
      <c r="F17" s="211"/>
      <c r="G17" s="211"/>
      <c r="I17" s="63"/>
      <c r="J17" s="63"/>
      <c r="K17" s="63"/>
      <c r="L17" s="63"/>
      <c r="M17" s="211"/>
      <c r="N17" s="211"/>
    </row>
    <row r="18" spans="2:17" ht="13.5" thickBot="1" x14ac:dyDescent="0.25">
      <c r="C18" s="63"/>
      <c r="F18" s="211"/>
      <c r="G18" s="211"/>
      <c r="I18" s="63"/>
      <c r="J18" s="219" t="s">
        <v>205</v>
      </c>
      <c r="K18" s="219"/>
      <c r="L18" s="219"/>
      <c r="M18" s="220">
        <v>20</v>
      </c>
      <c r="N18" s="220">
        <v>20</v>
      </c>
    </row>
    <row r="19" spans="2:17" ht="13.5" thickBot="1" x14ac:dyDescent="0.25">
      <c r="F19" s="92"/>
      <c r="G19" s="92"/>
      <c r="I19" s="63"/>
      <c r="J19" s="63"/>
      <c r="K19" s="63"/>
      <c r="L19" s="63"/>
      <c r="M19" s="92"/>
      <c r="N19" s="92"/>
    </row>
    <row r="20" spans="2:17" ht="13.5" thickBot="1" x14ac:dyDescent="0.25">
      <c r="B20" s="2" t="s">
        <v>6</v>
      </c>
      <c r="C20" s="2"/>
      <c r="D20" s="2"/>
      <c r="E20" s="1"/>
      <c r="F20" s="218">
        <f>F10+F12+F14</f>
        <v>600</v>
      </c>
      <c r="G20" s="218">
        <f>G10+G12+G14</f>
        <v>600</v>
      </c>
      <c r="I20" s="2" t="s">
        <v>20</v>
      </c>
      <c r="J20" s="2"/>
      <c r="K20" s="2"/>
      <c r="L20" s="1"/>
      <c r="M20" s="218">
        <f>M6+M8+M10+M12</f>
        <v>500</v>
      </c>
      <c r="N20" s="218">
        <f>N6+N8+N10+N12</f>
        <v>500</v>
      </c>
    </row>
    <row r="21" spans="2:17" ht="13.5" thickBot="1" x14ac:dyDescent="0.25">
      <c r="F21" s="92"/>
      <c r="G21" s="92"/>
      <c r="M21" s="92"/>
      <c r="N21" s="92"/>
    </row>
    <row r="22" spans="2:17" ht="13.5" thickBot="1" x14ac:dyDescent="0.25">
      <c r="B22" s="63" t="s">
        <v>7</v>
      </c>
      <c r="F22" s="88">
        <v>600</v>
      </c>
      <c r="G22" s="88">
        <v>600</v>
      </c>
      <c r="I22" s="63" t="s">
        <v>120</v>
      </c>
      <c r="J22" s="63"/>
      <c r="K22" s="63"/>
      <c r="M22" s="88">
        <f>800+450+30+20</f>
        <v>1300</v>
      </c>
      <c r="N22" s="88">
        <v>1300</v>
      </c>
    </row>
    <row r="23" spans="2:17" ht="13.5" thickBot="1" x14ac:dyDescent="0.25">
      <c r="B23" s="63"/>
      <c r="F23" s="92"/>
      <c r="G23" s="92"/>
      <c r="I23" s="63"/>
      <c r="J23" s="63"/>
      <c r="K23" s="63"/>
      <c r="M23" s="92"/>
      <c r="N23" s="92"/>
    </row>
    <row r="24" spans="2:17" ht="13.5" thickBot="1" x14ac:dyDescent="0.25">
      <c r="B24" s="63"/>
      <c r="C24" s="63" t="s">
        <v>113</v>
      </c>
      <c r="F24" s="88">
        <v>0</v>
      </c>
      <c r="G24" s="88">
        <v>0</v>
      </c>
      <c r="I24" s="63"/>
      <c r="J24" s="63" t="s">
        <v>213</v>
      </c>
      <c r="K24" s="63"/>
      <c r="M24" s="88">
        <v>800</v>
      </c>
      <c r="N24" s="88">
        <v>800</v>
      </c>
      <c r="Q24" s="96"/>
    </row>
    <row r="25" spans="2:17" ht="13.5" thickBot="1" x14ac:dyDescent="0.25">
      <c r="F25" s="92"/>
      <c r="G25" s="92"/>
      <c r="I25" s="63"/>
      <c r="J25" s="63"/>
      <c r="K25" s="63"/>
      <c r="M25" s="92"/>
      <c r="N25" s="92"/>
    </row>
    <row r="26" spans="2:17" ht="13.5" thickBot="1" x14ac:dyDescent="0.25">
      <c r="B26" s="63" t="s">
        <v>118</v>
      </c>
      <c r="F26" s="88">
        <v>590</v>
      </c>
      <c r="G26" s="88">
        <v>590</v>
      </c>
      <c r="I26" s="63"/>
      <c r="J26" s="63" t="s">
        <v>18</v>
      </c>
      <c r="K26" s="63"/>
      <c r="M26" s="88">
        <v>450</v>
      </c>
      <c r="N26" s="88">
        <v>450</v>
      </c>
    </row>
    <row r="27" spans="2:17" ht="13.5" thickBot="1" x14ac:dyDescent="0.25">
      <c r="B27" s="63"/>
      <c r="F27" s="92"/>
      <c r="G27" s="92"/>
      <c r="I27" s="63"/>
      <c r="J27" s="63"/>
      <c r="K27" s="63"/>
      <c r="M27" s="92"/>
      <c r="N27" s="92"/>
    </row>
    <row r="28" spans="2:17" ht="13.5" thickBot="1" x14ac:dyDescent="0.25">
      <c r="C28" s="63" t="s">
        <v>119</v>
      </c>
      <c r="F28" s="88">
        <v>590</v>
      </c>
      <c r="G28" s="88">
        <v>590</v>
      </c>
      <c r="I28" s="63"/>
      <c r="J28" s="63"/>
      <c r="K28" s="63"/>
      <c r="M28" s="92"/>
      <c r="N28" s="92"/>
    </row>
    <row r="29" spans="2:17" ht="13.5" thickBot="1" x14ac:dyDescent="0.25">
      <c r="C29" s="63"/>
      <c r="F29" s="92"/>
      <c r="G29" s="92"/>
      <c r="I29" s="63"/>
      <c r="J29" s="63"/>
      <c r="K29" s="63"/>
      <c r="M29" s="92"/>
      <c r="N29" s="92"/>
    </row>
    <row r="30" spans="2:17" ht="13.5" thickBot="1" x14ac:dyDescent="0.25">
      <c r="B30" s="63" t="s">
        <v>48</v>
      </c>
      <c r="F30" s="88">
        <v>10</v>
      </c>
      <c r="G30" s="88">
        <v>10</v>
      </c>
      <c r="I30" s="63" t="s">
        <v>23</v>
      </c>
      <c r="J30" s="63"/>
      <c r="K30" s="63"/>
      <c r="M30" s="88">
        <v>0</v>
      </c>
      <c r="N30" s="88">
        <v>0</v>
      </c>
    </row>
    <row r="31" spans="2:17" ht="13.5" thickBot="1" x14ac:dyDescent="0.25">
      <c r="F31" s="92"/>
      <c r="G31" s="92"/>
      <c r="M31" s="92"/>
      <c r="N31" s="92"/>
    </row>
    <row r="32" spans="2:17" ht="13.5" thickBot="1" x14ac:dyDescent="0.25">
      <c r="B32" s="2" t="s">
        <v>11</v>
      </c>
      <c r="C32" s="2"/>
      <c r="D32" s="2"/>
      <c r="E32" s="1"/>
      <c r="F32" s="218">
        <f>F22+F26+F30</f>
        <v>1200</v>
      </c>
      <c r="G32" s="218">
        <f>G22+G26+G30</f>
        <v>1200</v>
      </c>
      <c r="I32" s="2" t="s">
        <v>24</v>
      </c>
      <c r="J32" s="2"/>
      <c r="K32" s="2"/>
      <c r="L32" s="1"/>
      <c r="M32" s="218">
        <f>M22+M30</f>
        <v>1300</v>
      </c>
      <c r="N32" s="218">
        <f>N22+N30</f>
        <v>1300</v>
      </c>
    </row>
    <row r="33" spans="1:15" ht="13.5" thickBot="1" x14ac:dyDescent="0.25">
      <c r="F33" s="92"/>
      <c r="G33" s="92"/>
      <c r="M33" s="92"/>
      <c r="N33" s="92"/>
    </row>
    <row r="34" spans="1:15" ht="13.5" thickBot="1" x14ac:dyDescent="0.25">
      <c r="C34" s="63" t="s">
        <v>12</v>
      </c>
      <c r="F34" s="218">
        <f>F20+F32</f>
        <v>1800</v>
      </c>
      <c r="G34" s="218">
        <f>G20+G32</f>
        <v>1800</v>
      </c>
      <c r="J34" s="63" t="s">
        <v>25</v>
      </c>
      <c r="M34" s="218">
        <f>M20+M32</f>
        <v>1800</v>
      </c>
      <c r="N34" s="218">
        <f>N20+N32</f>
        <v>1800</v>
      </c>
    </row>
    <row r="35" spans="1:15" ht="13.5" thickBot="1" x14ac:dyDescent="0.25"/>
    <row r="36" spans="1:15" ht="13.5" thickBot="1" x14ac:dyDescent="0.25">
      <c r="I36" s="94" t="s">
        <v>180</v>
      </c>
      <c r="M36" s="88"/>
      <c r="N36" s="88"/>
    </row>
    <row r="37" spans="1:15" ht="13.5" thickBot="1" x14ac:dyDescent="0.25">
      <c r="I37" s="94" t="s">
        <v>181</v>
      </c>
      <c r="M37" s="88"/>
      <c r="N37" s="88"/>
    </row>
    <row r="38" spans="1:15" ht="13.5" thickBot="1" x14ac:dyDescent="0.25">
      <c r="I38" s="94" t="s">
        <v>182</v>
      </c>
      <c r="M38" s="88"/>
      <c r="N38" s="88"/>
    </row>
    <row r="39" spans="1:15" ht="13.5" thickBot="1" x14ac:dyDescent="0.25">
      <c r="I39" s="94" t="s">
        <v>183</v>
      </c>
      <c r="M39" s="88"/>
      <c r="N39" s="88"/>
    </row>
    <row r="40" spans="1:15" ht="13.5" thickBot="1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87"/>
    </row>
    <row r="41" spans="1:15" ht="13.5" thickTop="1" x14ac:dyDescent="0.2"/>
    <row r="42" spans="1:15" x14ac:dyDescent="0.2">
      <c r="G42" s="96"/>
      <c r="H42" s="96"/>
    </row>
    <row r="44" spans="1:15" x14ac:dyDescent="0.2">
      <c r="F44" s="25"/>
    </row>
    <row r="45" spans="1:15" x14ac:dyDescent="0.2">
      <c r="F45" s="25"/>
      <c r="G45" s="25"/>
      <c r="J45" s="25"/>
    </row>
    <row r="47" spans="1:15" x14ac:dyDescent="0.2">
      <c r="F47" s="25"/>
    </row>
  </sheetData>
  <phoneticPr fontId="0" type="noConversion"/>
  <pageMargins left="0.7" right="0.7" top="0.75" bottom="0.75" header="0.3" footer="0.3"/>
  <pageSetup paperSize="9" scale="63" orientation="landscape" horizontalDpi="300" verticalDpi="300" r:id="rId1"/>
  <headerFooter alignWithMargins="0"/>
  <rowBreaks count="1" manualBreakCount="1">
    <brk id="29" max="14" man="1"/>
  </rowBreaks>
  <colBreaks count="1" manualBreakCount="1">
    <brk id="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>
    <pageSetUpPr fitToPage="1"/>
  </sheetPr>
  <dimension ref="A1:O37"/>
  <sheetViews>
    <sheetView view="pageBreakPreview" zoomScale="85" zoomScaleNormal="75" zoomScaleSheetLayoutView="85" workbookViewId="0">
      <selection activeCell="N13" sqref="N13"/>
    </sheetView>
  </sheetViews>
  <sheetFormatPr defaultColWidth="13.85546875" defaultRowHeight="13.5" customHeight="1" x14ac:dyDescent="0.2"/>
  <cols>
    <col min="1" max="1" width="10.28515625" style="11" customWidth="1"/>
    <col min="2" max="14" width="13.85546875" style="11" customWidth="1"/>
    <col min="15" max="15" width="9.7109375" style="140" customWidth="1"/>
    <col min="16" max="16384" width="13.85546875" style="11"/>
  </cols>
  <sheetData>
    <row r="1" spans="1:15" s="217" customFormat="1" ht="12.75" x14ac:dyDescent="0.2"/>
    <row r="2" spans="1:15" s="216" customFormat="1" ht="26.25" x14ac:dyDescent="0.4">
      <c r="A2" s="214" t="s">
        <v>210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5" ht="13.5" customHeight="1" thickBot="1" x14ac:dyDescent="0.25"/>
    <row r="4" spans="1:15" s="6" customFormat="1" ht="13.5" customHeight="1" thickBot="1" x14ac:dyDescent="0.25">
      <c r="B4" s="6" t="s">
        <v>0</v>
      </c>
      <c r="F4" s="126">
        <f>'Stato Patrimoniale (input)'!F4</f>
        <v>2019</v>
      </c>
      <c r="G4" s="126">
        <f>'Stato Patrimoniale (input)'!G4</f>
        <v>2018</v>
      </c>
      <c r="M4" s="126">
        <f>F4</f>
        <v>2019</v>
      </c>
      <c r="N4" s="126">
        <f>G4</f>
        <v>2018</v>
      </c>
      <c r="O4" s="276"/>
    </row>
    <row r="5" spans="1:15" ht="13.5" customHeight="1" thickBot="1" x14ac:dyDescent="0.25">
      <c r="B5" s="6"/>
      <c r="F5" s="94"/>
      <c r="G5" s="94"/>
      <c r="M5" s="94"/>
      <c r="N5" s="94"/>
    </row>
    <row r="6" spans="1:15" ht="13.5" customHeight="1" thickBot="1" x14ac:dyDescent="0.25">
      <c r="B6" s="6" t="s">
        <v>1</v>
      </c>
      <c r="F6" s="24">
        <f>'Stato Patrimoniale (input)'!F6</f>
        <v>12</v>
      </c>
      <c r="G6" s="24">
        <f>'Stato Patrimoniale (input)'!G6</f>
        <v>12</v>
      </c>
      <c r="I6" s="6"/>
      <c r="J6" s="6"/>
      <c r="K6" s="6"/>
      <c r="L6" s="6"/>
      <c r="M6" s="275"/>
      <c r="N6" s="275"/>
    </row>
    <row r="7" spans="1:15" ht="13.5" customHeight="1" x14ac:dyDescent="0.2">
      <c r="I7" s="6"/>
      <c r="J7" s="6"/>
      <c r="K7" s="6"/>
      <c r="L7" s="6"/>
    </row>
    <row r="8" spans="1:15" ht="13.5" customHeight="1" x14ac:dyDescent="0.2">
      <c r="I8" s="6"/>
      <c r="J8" s="6"/>
      <c r="K8" s="6"/>
      <c r="L8" s="6"/>
    </row>
    <row r="9" spans="1:15" ht="13.5" customHeight="1" thickBot="1" x14ac:dyDescent="0.25">
      <c r="I9" s="6"/>
      <c r="J9" s="6"/>
      <c r="K9" s="6"/>
      <c r="L9" s="6"/>
    </row>
    <row r="10" spans="1:15" ht="13.5" customHeight="1" thickBot="1" x14ac:dyDescent="0.25">
      <c r="B10" s="6" t="s">
        <v>26</v>
      </c>
      <c r="F10" s="88">
        <v>1200</v>
      </c>
      <c r="G10" s="88">
        <v>1200</v>
      </c>
      <c r="I10" s="6" t="s">
        <v>37</v>
      </c>
      <c r="J10" s="6"/>
      <c r="K10" s="6"/>
      <c r="L10" s="6"/>
      <c r="M10" s="88">
        <v>0</v>
      </c>
      <c r="N10" s="88">
        <v>0</v>
      </c>
      <c r="O10" s="141"/>
    </row>
    <row r="11" spans="1:15" ht="13.5" customHeight="1" thickBot="1" x14ac:dyDescent="0.25">
      <c r="B11" s="6"/>
      <c r="F11" s="92"/>
      <c r="G11" s="92"/>
      <c r="I11" s="6"/>
      <c r="J11" s="6"/>
      <c r="K11" s="6"/>
      <c r="L11" s="6"/>
      <c r="M11" s="92"/>
      <c r="N11" s="92"/>
      <c r="O11" s="141"/>
    </row>
    <row r="12" spans="1:15" ht="13.5" customHeight="1" thickBot="1" x14ac:dyDescent="0.25">
      <c r="B12" s="6" t="s">
        <v>27</v>
      </c>
      <c r="F12" s="88">
        <v>-100</v>
      </c>
      <c r="G12" s="88">
        <v>-100</v>
      </c>
      <c r="I12" s="6" t="s">
        <v>38</v>
      </c>
      <c r="J12" s="6"/>
      <c r="K12" s="6"/>
      <c r="L12" s="6"/>
      <c r="M12" s="88">
        <v>40</v>
      </c>
      <c r="N12" s="88">
        <v>40</v>
      </c>
      <c r="O12" s="141"/>
    </row>
    <row r="13" spans="1:15" ht="13.5" customHeight="1" thickBot="1" x14ac:dyDescent="0.25">
      <c r="F13" s="92"/>
      <c r="G13" s="92"/>
      <c r="I13" s="6"/>
      <c r="J13" s="6"/>
      <c r="K13" s="6"/>
      <c r="L13" s="6"/>
      <c r="M13" s="92"/>
      <c r="N13" s="92"/>
      <c r="O13" s="141"/>
    </row>
    <row r="14" spans="1:15" ht="13.5" customHeight="1" thickBot="1" x14ac:dyDescent="0.25">
      <c r="B14" s="6" t="s">
        <v>29</v>
      </c>
      <c r="E14" s="142"/>
      <c r="F14" s="88">
        <v>500</v>
      </c>
      <c r="G14" s="88">
        <v>500</v>
      </c>
      <c r="I14" s="9" t="s">
        <v>39</v>
      </c>
      <c r="J14" s="9"/>
      <c r="K14" s="9"/>
      <c r="L14" s="143"/>
      <c r="M14" s="218">
        <f>F30+M10-M12</f>
        <v>120</v>
      </c>
      <c r="N14" s="218">
        <f>G30+N10-N12</f>
        <v>120</v>
      </c>
      <c r="O14" s="144"/>
    </row>
    <row r="15" spans="1:15" ht="13.5" customHeight="1" thickBot="1" x14ac:dyDescent="0.25">
      <c r="B15" s="6"/>
      <c r="F15" s="92"/>
      <c r="G15" s="92"/>
      <c r="I15" s="6"/>
      <c r="J15" s="6"/>
      <c r="K15" s="6"/>
      <c r="L15" s="6"/>
      <c r="M15" s="92"/>
      <c r="N15" s="92"/>
      <c r="O15" s="141"/>
    </row>
    <row r="16" spans="1:15" ht="13.5" customHeight="1" thickBot="1" x14ac:dyDescent="0.25">
      <c r="B16" s="6" t="s">
        <v>28</v>
      </c>
      <c r="C16" s="6"/>
      <c r="F16" s="88">
        <v>200</v>
      </c>
      <c r="G16" s="88">
        <v>200</v>
      </c>
      <c r="I16" s="6" t="s">
        <v>153</v>
      </c>
      <c r="J16" s="6"/>
      <c r="K16" s="6"/>
      <c r="L16" s="6"/>
      <c r="M16" s="88">
        <v>0</v>
      </c>
      <c r="N16" s="88">
        <v>0</v>
      </c>
      <c r="O16" s="141"/>
    </row>
    <row r="17" spans="2:15" ht="13.5" customHeight="1" thickBot="1" x14ac:dyDescent="0.25">
      <c r="B17" s="6"/>
      <c r="C17" s="6"/>
      <c r="F17" s="92"/>
      <c r="G17" s="92"/>
      <c r="I17" s="6"/>
      <c r="J17" s="6"/>
      <c r="K17" s="6"/>
      <c r="L17" s="6"/>
      <c r="M17" s="92"/>
      <c r="N17" s="92"/>
      <c r="O17" s="141"/>
    </row>
    <row r="18" spans="2:15" ht="13.5" customHeight="1" thickBot="1" x14ac:dyDescent="0.25">
      <c r="B18" s="6" t="s">
        <v>30</v>
      </c>
      <c r="C18" s="6"/>
      <c r="F18" s="88">
        <v>0</v>
      </c>
      <c r="G18" s="88">
        <v>0</v>
      </c>
      <c r="I18" s="6" t="s">
        <v>41</v>
      </c>
      <c r="J18" s="6"/>
      <c r="K18" s="6"/>
      <c r="L18" s="6"/>
      <c r="M18" s="88">
        <v>60</v>
      </c>
      <c r="N18" s="88">
        <v>60</v>
      </c>
      <c r="O18" s="141"/>
    </row>
    <row r="19" spans="2:15" ht="13.5" customHeight="1" thickBot="1" x14ac:dyDescent="0.25">
      <c r="F19" s="92"/>
      <c r="G19" s="92"/>
      <c r="I19" s="6"/>
      <c r="J19" s="6"/>
      <c r="K19" s="6"/>
      <c r="L19" s="6"/>
      <c r="M19" s="92"/>
      <c r="N19" s="92"/>
      <c r="O19" s="141"/>
    </row>
    <row r="20" spans="2:15" ht="13.5" customHeight="1" thickBot="1" x14ac:dyDescent="0.25">
      <c r="B20" s="145" t="s">
        <v>31</v>
      </c>
      <c r="C20" s="146"/>
      <c r="D20" s="146"/>
      <c r="E20" s="147"/>
      <c r="F20" s="218">
        <f>F10+F12-F14-F16+F18</f>
        <v>400</v>
      </c>
      <c r="G20" s="218">
        <f>G10+G12-G14-G16+G18</f>
        <v>400</v>
      </c>
      <c r="I20" s="9" t="s">
        <v>42</v>
      </c>
      <c r="J20" s="9"/>
      <c r="K20" s="9"/>
      <c r="L20" s="143"/>
      <c r="M20" s="218">
        <f>M14+M16-M18</f>
        <v>60</v>
      </c>
      <c r="N20" s="218">
        <f>N14+N16-N18</f>
        <v>60</v>
      </c>
      <c r="O20" s="144"/>
    </row>
    <row r="21" spans="2:15" ht="13.5" customHeight="1" thickBot="1" x14ac:dyDescent="0.25">
      <c r="F21" s="92"/>
      <c r="G21" s="92"/>
      <c r="M21" s="92"/>
      <c r="N21" s="92"/>
      <c r="O21" s="141"/>
    </row>
    <row r="22" spans="2:15" ht="13.5" customHeight="1" thickBot="1" x14ac:dyDescent="0.25">
      <c r="B22" s="6" t="s">
        <v>32</v>
      </c>
      <c r="F22" s="88">
        <v>160</v>
      </c>
      <c r="G22" s="88">
        <v>160</v>
      </c>
      <c r="I22" s="6" t="s">
        <v>43</v>
      </c>
      <c r="J22" s="6"/>
      <c r="K22" s="6"/>
      <c r="M22" s="88">
        <v>0</v>
      </c>
      <c r="N22" s="88">
        <v>0</v>
      </c>
      <c r="O22" s="141"/>
    </row>
    <row r="23" spans="2:15" ht="13.5" customHeight="1" thickBot="1" x14ac:dyDescent="0.25">
      <c r="B23" s="6"/>
      <c r="F23" s="92"/>
      <c r="G23" s="92"/>
      <c r="I23" s="6"/>
      <c r="J23" s="6"/>
      <c r="K23" s="6"/>
      <c r="M23" s="92"/>
      <c r="N23" s="92"/>
      <c r="O23" s="141"/>
    </row>
    <row r="24" spans="2:15" ht="13.5" customHeight="1" thickBot="1" x14ac:dyDescent="0.25">
      <c r="B24" s="145" t="s">
        <v>33</v>
      </c>
      <c r="C24" s="146"/>
      <c r="D24" s="146"/>
      <c r="E24" s="147"/>
      <c r="F24" s="218">
        <f>F20-F22</f>
        <v>240</v>
      </c>
      <c r="G24" s="218">
        <f>G20-G22</f>
        <v>240</v>
      </c>
      <c r="I24" s="9" t="s">
        <v>44</v>
      </c>
      <c r="J24" s="9"/>
      <c r="K24" s="9"/>
      <c r="L24" s="143"/>
      <c r="M24" s="218">
        <f>M20+M22</f>
        <v>60</v>
      </c>
      <c r="N24" s="218">
        <f>N20+N22</f>
        <v>60</v>
      </c>
      <c r="O24" s="144"/>
    </row>
    <row r="25" spans="2:15" ht="13.5" customHeight="1" thickBot="1" x14ac:dyDescent="0.25">
      <c r="F25" s="92"/>
      <c r="G25" s="92"/>
      <c r="I25" s="6"/>
      <c r="J25" s="6"/>
      <c r="K25" s="6"/>
      <c r="M25" s="92"/>
      <c r="N25" s="92"/>
      <c r="O25" s="141"/>
    </row>
    <row r="26" spans="2:15" ht="13.5" customHeight="1" thickBot="1" x14ac:dyDescent="0.25">
      <c r="B26" s="6" t="s">
        <v>34</v>
      </c>
      <c r="F26" s="88">
        <v>80</v>
      </c>
      <c r="G26" s="88">
        <v>80</v>
      </c>
      <c r="I26" s="6" t="s">
        <v>45</v>
      </c>
      <c r="J26" s="6"/>
      <c r="K26" s="6"/>
      <c r="M26" s="88">
        <v>30</v>
      </c>
      <c r="N26" s="88">
        <v>30</v>
      </c>
      <c r="O26" s="141"/>
    </row>
    <row r="27" spans="2:15" ht="13.5" customHeight="1" thickBot="1" x14ac:dyDescent="0.25">
      <c r="B27" s="6"/>
      <c r="F27" s="92"/>
      <c r="G27" s="92"/>
      <c r="I27" s="6"/>
      <c r="J27" s="6"/>
      <c r="K27" s="6"/>
      <c r="M27" s="92"/>
      <c r="N27" s="92"/>
      <c r="O27" s="141"/>
    </row>
    <row r="28" spans="2:15" ht="13.5" customHeight="1" thickBot="1" x14ac:dyDescent="0.25">
      <c r="B28" s="6" t="s">
        <v>35</v>
      </c>
      <c r="C28" s="6"/>
      <c r="F28" s="88"/>
      <c r="G28" s="88">
        <v>0</v>
      </c>
      <c r="I28" s="6" t="s">
        <v>46</v>
      </c>
      <c r="J28" s="6"/>
      <c r="K28" s="6"/>
      <c r="M28" s="88"/>
      <c r="N28" s="88"/>
      <c r="O28" s="141"/>
    </row>
    <row r="29" spans="2:15" ht="13.5" customHeight="1" thickBot="1" x14ac:dyDescent="0.25">
      <c r="C29" s="6"/>
      <c r="F29" s="92"/>
      <c r="G29" s="92"/>
      <c r="I29" s="6"/>
      <c r="J29" s="6"/>
      <c r="K29" s="6"/>
      <c r="M29" s="92"/>
      <c r="N29" s="92"/>
      <c r="O29" s="141"/>
    </row>
    <row r="30" spans="2:15" ht="13.5" customHeight="1" thickBot="1" x14ac:dyDescent="0.25">
      <c r="B30" s="145" t="s">
        <v>36</v>
      </c>
      <c r="C30" s="146"/>
      <c r="D30" s="146"/>
      <c r="E30" s="147"/>
      <c r="F30" s="218">
        <f>F24-F26-F28</f>
        <v>160</v>
      </c>
      <c r="G30" s="218">
        <f>G24-G26-G28</f>
        <v>160</v>
      </c>
      <c r="I30" s="9" t="s">
        <v>47</v>
      </c>
      <c r="J30" s="9"/>
      <c r="K30" s="9"/>
      <c r="L30" s="143"/>
      <c r="M30" s="218">
        <f>M24-M26+M28</f>
        <v>30</v>
      </c>
      <c r="N30" s="218">
        <f>N24-N26+N28</f>
        <v>30</v>
      </c>
      <c r="O30" s="144"/>
    </row>
    <row r="32" spans="2:15" ht="13.5" customHeight="1" x14ac:dyDescent="0.2">
      <c r="C32" s="6"/>
      <c r="I32" s="12"/>
      <c r="J32" s="12"/>
      <c r="K32" s="12"/>
      <c r="L32" s="13"/>
      <c r="M32" s="13"/>
      <c r="N32" s="13"/>
    </row>
    <row r="34" spans="1:15" ht="13.5" customHeight="1" thickBot="1" x14ac:dyDescent="0.25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221"/>
    </row>
    <row r="35" spans="1:15" ht="13.5" customHeight="1" thickTop="1" x14ac:dyDescent="0.2"/>
    <row r="36" spans="1:15" ht="13.5" customHeight="1" x14ac:dyDescent="0.2">
      <c r="F36" s="150"/>
      <c r="G36" s="151"/>
      <c r="H36" s="151"/>
    </row>
    <row r="37" spans="1:15" ht="13.5" customHeight="1" x14ac:dyDescent="0.2">
      <c r="F37" s="25"/>
      <c r="G37" s="25"/>
      <c r="I37" s="148"/>
      <c r="J37" s="14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2"/>
  <sheetViews>
    <sheetView view="pageBreakPreview" zoomScale="75" zoomScaleNormal="80" zoomScaleSheetLayoutView="75" workbookViewId="0">
      <selection activeCell="S28" sqref="S28"/>
    </sheetView>
  </sheetViews>
  <sheetFormatPr defaultColWidth="9.140625" defaultRowHeight="12.75" x14ac:dyDescent="0.2"/>
  <cols>
    <col min="1" max="1" width="9.140625" style="28"/>
    <col min="2" max="2" width="13.85546875" style="28" customWidth="1"/>
    <col min="3" max="5" width="9.140625" style="28"/>
    <col min="6" max="6" width="11.85546875" style="28" customWidth="1"/>
    <col min="7" max="7" width="11.7109375" style="28" customWidth="1"/>
    <col min="8" max="8" width="0.42578125" style="28" customWidth="1"/>
    <col min="9" max="11" width="9.140625" style="28"/>
    <col min="12" max="12" width="14.7109375" style="28" customWidth="1"/>
    <col min="13" max="13" width="11.7109375" style="28" customWidth="1"/>
    <col min="14" max="14" width="11.85546875" style="28" customWidth="1"/>
    <col min="15" max="15" width="9.140625" style="28"/>
    <col min="16" max="16" width="33.5703125" style="28" bestFit="1" customWidth="1"/>
    <col min="17" max="17" width="11.85546875" style="28" customWidth="1"/>
    <col min="18" max="18" width="11.42578125" style="28" customWidth="1"/>
    <col min="19" max="16384" width="9.140625" style="28"/>
  </cols>
  <sheetData>
    <row r="1" spans="1:19" s="217" customFormat="1" x14ac:dyDescent="0.2"/>
    <row r="2" spans="1:19" s="216" customFormat="1" ht="26.25" x14ac:dyDescent="0.4">
      <c r="A2" s="214" t="s">
        <v>212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13.5" thickBot="1" x14ac:dyDescent="0.25"/>
    <row r="4" spans="1:19" s="63" customFormat="1" ht="13.5" thickBot="1" x14ac:dyDescent="0.25">
      <c r="B4" s="63" t="s">
        <v>145</v>
      </c>
      <c r="F4" s="133">
        <f>'Conto Economico (input)'!F4</f>
        <v>2019</v>
      </c>
      <c r="G4" s="133">
        <f>'Conto Economico (input)'!G4</f>
        <v>2018</v>
      </c>
      <c r="M4" s="133">
        <f>F4</f>
        <v>2019</v>
      </c>
      <c r="N4" s="133">
        <f>G4</f>
        <v>2018</v>
      </c>
      <c r="P4" s="63" t="s">
        <v>146</v>
      </c>
      <c r="Q4" s="133">
        <f>F4</f>
        <v>2019</v>
      </c>
      <c r="R4" s="133">
        <f>G4</f>
        <v>2018</v>
      </c>
    </row>
    <row r="5" spans="1:19" ht="13.5" thickBot="1" x14ac:dyDescent="0.25">
      <c r="B5" s="43"/>
      <c r="C5" s="29"/>
      <c r="D5" s="29"/>
      <c r="E5" s="29"/>
      <c r="F5" s="89"/>
      <c r="G5" s="89"/>
      <c r="H5" s="29"/>
      <c r="I5" s="29"/>
      <c r="J5" s="29"/>
      <c r="K5" s="29"/>
      <c r="L5" s="29"/>
      <c r="M5" s="89"/>
      <c r="N5" s="89"/>
      <c r="O5" s="29"/>
      <c r="P5" s="43"/>
      <c r="Q5" s="89"/>
      <c r="R5" s="89"/>
      <c r="S5" s="29"/>
    </row>
    <row r="6" spans="1:19" ht="13.5" thickBot="1" x14ac:dyDescent="0.25">
      <c r="B6" s="43" t="s">
        <v>1</v>
      </c>
      <c r="C6" s="29"/>
      <c r="D6" s="29"/>
      <c r="E6" s="29"/>
      <c r="F6" s="88">
        <v>12</v>
      </c>
      <c r="G6" s="88">
        <v>12</v>
      </c>
      <c r="H6" s="29"/>
      <c r="I6" s="29"/>
      <c r="J6" s="29"/>
      <c r="K6" s="29"/>
      <c r="L6" s="29"/>
      <c r="M6" s="88">
        <v>12</v>
      </c>
      <c r="N6" s="88">
        <v>12</v>
      </c>
      <c r="O6" s="29"/>
      <c r="P6" s="43" t="s">
        <v>1</v>
      </c>
      <c r="Q6" s="88">
        <v>12</v>
      </c>
      <c r="R6" s="88">
        <v>12</v>
      </c>
      <c r="S6" s="29"/>
    </row>
    <row r="8" spans="1:19" ht="13.5" thickBot="1" x14ac:dyDescent="0.25"/>
    <row r="9" spans="1:19" ht="13.5" thickBot="1" x14ac:dyDescent="0.25">
      <c r="B9" s="30"/>
      <c r="C9" s="31"/>
      <c r="D9" s="31"/>
      <c r="E9" s="31"/>
      <c r="F9" s="32"/>
      <c r="G9" s="32"/>
      <c r="H9" s="225"/>
      <c r="I9" s="33"/>
      <c r="J9" s="33"/>
      <c r="K9" s="33"/>
      <c r="L9" s="33"/>
      <c r="M9" s="33"/>
      <c r="N9" s="34"/>
      <c r="P9" s="47" t="s">
        <v>157</v>
      </c>
      <c r="Q9" s="48">
        <f>'Conto Economico (input)'!F10+'Conto Economico (input)'!F18+IF('Conto Economico (input)'!M10&gt;0,'Conto Economico (input)'!M10,0)</f>
        <v>1200</v>
      </c>
      <c r="R9" s="48">
        <f>'Conto Economico (input)'!G10+'Conto Economico (input)'!G18+IF('Conto Economico (input)'!N10&gt;0,'Conto Economico (input)'!N10,0)</f>
        <v>1200</v>
      </c>
    </row>
    <row r="10" spans="1:19" ht="13.5" thickBot="1" x14ac:dyDescent="0.25">
      <c r="B10" s="35" t="s">
        <v>2</v>
      </c>
      <c r="C10" s="3"/>
      <c r="D10" s="3"/>
      <c r="E10" s="3"/>
      <c r="F10" s="14">
        <f>'Stato Patrimoniale (input)'!F10</f>
        <v>100</v>
      </c>
      <c r="G10" s="40">
        <f>'Stato Patrimoniale (input)'!G10</f>
        <v>100</v>
      </c>
      <c r="H10" s="226"/>
      <c r="I10" s="81" t="s">
        <v>162</v>
      </c>
      <c r="J10" s="81"/>
      <c r="K10" s="81"/>
      <c r="L10" s="81"/>
      <c r="M10" s="218">
        <f>'Stato Patrimoniale (input)'!M6</f>
        <v>200</v>
      </c>
      <c r="N10" s="218">
        <f>'Stato Patrimoniale (input)'!N6</f>
        <v>200</v>
      </c>
      <c r="P10" s="47"/>
      <c r="Q10" s="47"/>
      <c r="R10" s="47"/>
    </row>
    <row r="11" spans="1:19" ht="13.5" thickBot="1" x14ac:dyDescent="0.25">
      <c r="B11" s="35"/>
      <c r="C11" s="3"/>
      <c r="D11" s="3"/>
      <c r="E11" s="3"/>
      <c r="F11" s="15"/>
      <c r="G11" s="15"/>
      <c r="H11" s="226"/>
      <c r="I11" s="36"/>
      <c r="J11" s="36"/>
      <c r="K11" s="36"/>
      <c r="L11" s="36"/>
      <c r="M11" s="36"/>
      <c r="N11" s="37"/>
      <c r="P11" s="47" t="s">
        <v>147</v>
      </c>
      <c r="Q11" s="48">
        <f>'Conto Economico (input)'!F14-'Conto Economico (input)'!F12</f>
        <v>600</v>
      </c>
      <c r="R11" s="48">
        <f>'Conto Economico (input)'!G14-'Conto Economico (input)'!G12</f>
        <v>600</v>
      </c>
    </row>
    <row r="12" spans="1:19" ht="13.5" thickBot="1" x14ac:dyDescent="0.25">
      <c r="B12" s="35" t="s">
        <v>143</v>
      </c>
      <c r="C12" s="3"/>
      <c r="D12" s="3"/>
      <c r="E12" s="3"/>
      <c r="F12" s="14">
        <f>'Stato Patrimoniale (input)'!F12</f>
        <v>500</v>
      </c>
      <c r="G12" s="40">
        <f>'Stato Patrimoniale (input)'!G12</f>
        <v>500</v>
      </c>
      <c r="H12" s="226"/>
      <c r="I12" s="36"/>
      <c r="J12" s="36"/>
      <c r="K12" s="36"/>
      <c r="L12" s="36"/>
      <c r="M12" s="36"/>
      <c r="N12" s="37"/>
      <c r="P12" s="47"/>
      <c r="Q12" s="47"/>
      <c r="R12" s="47"/>
    </row>
    <row r="13" spans="1:19" ht="13.5" thickBot="1" x14ac:dyDescent="0.25">
      <c r="B13" s="38"/>
      <c r="C13" s="3"/>
      <c r="D13" s="3"/>
      <c r="E13" s="3"/>
      <c r="F13" s="15"/>
      <c r="G13" s="15"/>
      <c r="H13" s="226"/>
      <c r="I13" s="36"/>
      <c r="J13" s="36"/>
      <c r="K13" s="36"/>
      <c r="L13" s="36"/>
      <c r="M13" s="36"/>
      <c r="N13" s="37"/>
      <c r="P13" s="47" t="s">
        <v>148</v>
      </c>
      <c r="Q13" s="48">
        <f>'Conto Economico (input)'!F16+'Conto Economico (input)'!F27-IF('Conto Economico (input)'!M10&lt;0,'Conto Economico (input)'!M10,0)+'Conto Economico (input)'!F28</f>
        <v>200</v>
      </c>
      <c r="R13" s="48">
        <f>'Conto Economico (input)'!G16+'Conto Economico (input)'!G27-IF('Conto Economico (input)'!N10&lt;0,'Conto Economico (input)'!N10,0)+'Conto Economico (input)'!G28</f>
        <v>200</v>
      </c>
    </row>
    <row r="14" spans="1:19" ht="13.5" thickBot="1" x14ac:dyDescent="0.25">
      <c r="B14" s="35" t="s">
        <v>4</v>
      </c>
      <c r="C14" s="3"/>
      <c r="D14" s="3"/>
      <c r="E14" s="3"/>
      <c r="F14" s="14">
        <f>'Stato Patrimoniale (input)'!F14</f>
        <v>0</v>
      </c>
      <c r="G14" s="40">
        <f>'Stato Patrimoniale (input)'!G14</f>
        <v>0</v>
      </c>
      <c r="H14" s="226"/>
      <c r="I14" s="36"/>
      <c r="J14" s="36"/>
      <c r="K14" s="36"/>
      <c r="L14" s="36"/>
      <c r="M14" s="36"/>
      <c r="N14" s="37"/>
      <c r="P14" s="47"/>
      <c r="Q14" s="47"/>
      <c r="R14" s="47"/>
    </row>
    <row r="15" spans="1:19" ht="13.5" thickBot="1" x14ac:dyDescent="0.25">
      <c r="B15" s="35"/>
      <c r="C15" s="3"/>
      <c r="D15" s="3"/>
      <c r="E15" s="3"/>
      <c r="F15" s="15"/>
      <c r="G15" s="15"/>
      <c r="H15" s="226"/>
      <c r="I15" s="36"/>
      <c r="J15" s="36"/>
      <c r="K15" s="36"/>
      <c r="L15" s="36"/>
      <c r="M15" s="36"/>
      <c r="N15" s="37"/>
      <c r="P15" s="49" t="s">
        <v>149</v>
      </c>
      <c r="Q15" s="50">
        <f>'Conto Economico (input)'!F22</f>
        <v>160</v>
      </c>
      <c r="R15" s="50">
        <f>'Conto Economico (input)'!G22</f>
        <v>160</v>
      </c>
    </row>
    <row r="16" spans="1:19" ht="13.5" thickBot="1" x14ac:dyDescent="0.25">
      <c r="B16" s="38"/>
      <c r="C16" s="4" t="s">
        <v>5</v>
      </c>
      <c r="D16" s="3"/>
      <c r="E16" s="3"/>
      <c r="F16" s="14">
        <f>'Stato Patrimoniale (input)'!F16</f>
        <v>0</v>
      </c>
      <c r="G16" s="40">
        <f>'Stato Patrimoniale (input)'!G16</f>
        <v>0</v>
      </c>
      <c r="H16" s="226"/>
      <c r="I16" s="36"/>
      <c r="J16" s="36"/>
      <c r="K16" s="36"/>
      <c r="L16" s="36"/>
      <c r="M16" s="36"/>
      <c r="N16" s="37"/>
    </row>
    <row r="17" spans="2:19" ht="13.5" thickBot="1" x14ac:dyDescent="0.25">
      <c r="B17" s="38"/>
      <c r="C17" s="3"/>
      <c r="D17" s="3"/>
      <c r="E17" s="3"/>
      <c r="F17" s="15"/>
      <c r="G17" s="15"/>
      <c r="H17" s="226"/>
      <c r="I17" s="36"/>
      <c r="J17" s="36"/>
      <c r="K17" s="36"/>
      <c r="L17" s="36"/>
      <c r="M17" s="36"/>
      <c r="N17" s="37"/>
      <c r="P17" s="43" t="s">
        <v>214</v>
      </c>
      <c r="Q17" s="44">
        <f>Q9-Q11-Q13-Q15</f>
        <v>240</v>
      </c>
      <c r="R17" s="44">
        <f>R9-R11-R13-R15</f>
        <v>240</v>
      </c>
    </row>
    <row r="18" spans="2:19" ht="13.5" thickBot="1" x14ac:dyDescent="0.25">
      <c r="B18" s="75" t="s">
        <v>135</v>
      </c>
      <c r="C18" s="76"/>
      <c r="D18" s="76"/>
      <c r="E18" s="77"/>
      <c r="F18" s="218">
        <f>F10+F12+F14</f>
        <v>600</v>
      </c>
      <c r="G18" s="222">
        <f>G10+G12+G14</f>
        <v>600</v>
      </c>
      <c r="H18" s="226"/>
      <c r="I18" s="81" t="s">
        <v>138</v>
      </c>
      <c r="J18" s="81"/>
      <c r="K18" s="81"/>
      <c r="L18" s="81"/>
      <c r="M18" s="218">
        <f>'Stato Patrimoniale (input)'!M12</f>
        <v>200</v>
      </c>
      <c r="N18" s="218">
        <f>'Stato Patrimoniale (input)'!N12</f>
        <v>200</v>
      </c>
    </row>
    <row r="19" spans="2:19" ht="13.5" thickBot="1" x14ac:dyDescent="0.25">
      <c r="B19" s="38"/>
      <c r="C19" s="3"/>
      <c r="D19" s="3"/>
      <c r="E19" s="3"/>
      <c r="F19" s="15"/>
      <c r="G19" s="15"/>
      <c r="H19" s="226"/>
      <c r="I19" s="36"/>
      <c r="J19" s="36"/>
      <c r="K19" s="36"/>
      <c r="L19" s="36"/>
      <c r="M19" s="36"/>
      <c r="N19" s="37"/>
      <c r="P19" s="41" t="s">
        <v>150</v>
      </c>
      <c r="Q19" s="42">
        <f>'Conto Economico (input)'!F26+'Conto Economico (input)'!M12</f>
        <v>120</v>
      </c>
      <c r="R19" s="42">
        <f>'Conto Economico (input)'!G26+'Conto Economico (input)'!N12</f>
        <v>120</v>
      </c>
    </row>
    <row r="20" spans="2:19" ht="13.5" thickBot="1" x14ac:dyDescent="0.25">
      <c r="B20" s="35" t="s">
        <v>7</v>
      </c>
      <c r="C20" s="3"/>
      <c r="D20" s="3"/>
      <c r="E20" s="3"/>
      <c r="F20" s="14">
        <f>'Stato Patrimoniale (input)'!F22</f>
        <v>600</v>
      </c>
      <c r="G20" s="40">
        <f>'Stato Patrimoniale (input)'!G22</f>
        <v>600</v>
      </c>
      <c r="H20" s="226"/>
      <c r="I20" s="36"/>
      <c r="J20" s="63" t="s">
        <v>213</v>
      </c>
      <c r="K20" s="4"/>
      <c r="L20" s="4"/>
      <c r="M20" s="14">
        <f>'Stato Patrimoniale (input)'!M14</f>
        <v>180</v>
      </c>
      <c r="N20" s="14">
        <f>'Stato Patrimoniale (input)'!N14</f>
        <v>180</v>
      </c>
    </row>
    <row r="21" spans="2:19" ht="13.5" thickBot="1" x14ac:dyDescent="0.25">
      <c r="B21" s="35"/>
      <c r="C21" s="3"/>
      <c r="D21" s="3"/>
      <c r="E21" s="3"/>
      <c r="F21" s="15"/>
      <c r="G21" s="15"/>
      <c r="H21" s="226"/>
      <c r="I21" s="36"/>
      <c r="J21" s="4"/>
      <c r="K21" s="4"/>
      <c r="L21" s="4"/>
      <c r="M21" s="15"/>
      <c r="N21" s="39"/>
      <c r="P21" s="43" t="s">
        <v>215</v>
      </c>
      <c r="Q21" s="44">
        <f>Q17-Q19</f>
        <v>120</v>
      </c>
      <c r="R21" s="44">
        <f>R17-R19</f>
        <v>120</v>
      </c>
    </row>
    <row r="22" spans="2:19" ht="13.5" thickBot="1" x14ac:dyDescent="0.25">
      <c r="B22" s="35"/>
      <c r="C22" s="4" t="s">
        <v>141</v>
      </c>
      <c r="D22" s="3"/>
      <c r="E22" s="3"/>
      <c r="F22" s="14">
        <f>'Stato Patrimoniale (input)'!F24</f>
        <v>0</v>
      </c>
      <c r="G22" s="40">
        <f>'Stato Patrimoniale (input)'!G24</f>
        <v>0</v>
      </c>
      <c r="H22" s="226"/>
      <c r="I22" s="36"/>
      <c r="J22" s="4" t="s">
        <v>144</v>
      </c>
      <c r="K22" s="4"/>
      <c r="L22" s="4"/>
      <c r="M22" s="14">
        <f>'Stato Patrimoniale (input)'!M16</f>
        <v>0</v>
      </c>
      <c r="N22" s="14">
        <f>'Stato Patrimoniale (input)'!N16</f>
        <v>0</v>
      </c>
      <c r="P22" s="29"/>
      <c r="Q22" s="29"/>
      <c r="R22" s="29"/>
    </row>
    <row r="23" spans="2:19" ht="13.5" thickBot="1" x14ac:dyDescent="0.25">
      <c r="B23" s="35"/>
      <c r="C23" s="4"/>
      <c r="D23" s="3"/>
      <c r="E23" s="3"/>
      <c r="F23" s="212"/>
      <c r="G23" s="212"/>
      <c r="H23" s="226"/>
      <c r="I23" s="36"/>
      <c r="J23" s="4"/>
      <c r="K23" s="4"/>
      <c r="L23" s="4"/>
      <c r="M23" s="212"/>
      <c r="N23" s="39"/>
      <c r="P23" s="41" t="s">
        <v>151</v>
      </c>
      <c r="Q23" s="83">
        <f>'Conto Economico (input)'!M18</f>
        <v>60</v>
      </c>
      <c r="R23" s="83">
        <f>'Conto Economico (input)'!N18</f>
        <v>60</v>
      </c>
    </row>
    <row r="24" spans="2:19" ht="13.5" thickBot="1" x14ac:dyDescent="0.25">
      <c r="B24" s="35"/>
      <c r="C24" s="4"/>
      <c r="D24" s="3"/>
      <c r="E24" s="3"/>
      <c r="F24" s="212"/>
      <c r="G24" s="212"/>
      <c r="H24" s="226"/>
      <c r="I24" s="36"/>
      <c r="J24" s="4" t="s">
        <v>205</v>
      </c>
      <c r="K24" s="4"/>
      <c r="L24" s="4"/>
      <c r="M24" s="14">
        <f>'Stato Patrimoniale (input)'!M18</f>
        <v>20</v>
      </c>
      <c r="N24" s="14">
        <f>'Stato Patrimoniale (input)'!N18</f>
        <v>20</v>
      </c>
      <c r="P24" s="29"/>
      <c r="Q24" s="29"/>
      <c r="R24" s="29"/>
    </row>
    <row r="25" spans="2:19" ht="13.5" thickBot="1" x14ac:dyDescent="0.25">
      <c r="B25" s="38"/>
      <c r="C25" s="3"/>
      <c r="D25" s="3"/>
      <c r="E25" s="3"/>
      <c r="F25" s="15"/>
      <c r="G25" s="15"/>
      <c r="H25" s="226"/>
      <c r="I25" s="36"/>
      <c r="J25" s="36"/>
      <c r="K25" s="36"/>
      <c r="L25" s="36"/>
      <c r="M25" s="36"/>
      <c r="N25" s="37"/>
      <c r="P25" s="43" t="s">
        <v>152</v>
      </c>
      <c r="Q25" s="84">
        <f>Q21-Q23</f>
        <v>60</v>
      </c>
      <c r="R25" s="84">
        <f>R21-R23</f>
        <v>60</v>
      </c>
    </row>
    <row r="26" spans="2:19" ht="13.5" thickBot="1" x14ac:dyDescent="0.25">
      <c r="B26" s="35" t="s">
        <v>142</v>
      </c>
      <c r="C26" s="3"/>
      <c r="D26" s="3"/>
      <c r="E26" s="3"/>
      <c r="F26" s="40">
        <f>'Stato Patrimoniale (input)'!F26+'Stato Patrimoniale (input)'!F30-F36</f>
        <v>600</v>
      </c>
      <c r="G26" s="40">
        <f>'Stato Patrimoniale (input)'!G26+'Stato Patrimoniale (input)'!G30-G36</f>
        <v>600</v>
      </c>
      <c r="H26" s="226"/>
      <c r="I26" s="36"/>
      <c r="J26" s="36"/>
      <c r="K26" s="36"/>
      <c r="L26" s="36"/>
      <c r="M26" s="36"/>
      <c r="N26" s="37"/>
      <c r="P26" s="29"/>
      <c r="Q26" s="29"/>
      <c r="R26" s="29"/>
    </row>
    <row r="27" spans="2:19" ht="13.5" thickBot="1" x14ac:dyDescent="0.25">
      <c r="B27" s="35"/>
      <c r="C27" s="3"/>
      <c r="D27" s="3"/>
      <c r="E27" s="3"/>
      <c r="F27" s="15"/>
      <c r="G27" s="15"/>
      <c r="H27" s="226"/>
      <c r="I27" s="36"/>
      <c r="J27" s="36"/>
      <c r="K27" s="36"/>
      <c r="L27" s="36"/>
      <c r="M27" s="36"/>
      <c r="N27" s="37"/>
      <c r="P27" s="29" t="s">
        <v>154</v>
      </c>
      <c r="Q27" s="84">
        <f>'Conto Economico (input)'!M16</f>
        <v>0</v>
      </c>
      <c r="R27" s="84">
        <f>'Conto Economico (input)'!N16</f>
        <v>0</v>
      </c>
    </row>
    <row r="28" spans="2:19" ht="13.5" thickBot="1" x14ac:dyDescent="0.25">
      <c r="B28" s="38"/>
      <c r="C28" s="4" t="s">
        <v>119</v>
      </c>
      <c r="D28" s="3"/>
      <c r="E28" s="3"/>
      <c r="F28" s="14">
        <f>'Stato Patrimoniale (input)'!F28</f>
        <v>590</v>
      </c>
      <c r="G28" s="40">
        <f>'Stato Patrimoniale (input)'!G28</f>
        <v>590</v>
      </c>
      <c r="H28" s="226"/>
      <c r="I28" s="36"/>
      <c r="J28" s="36"/>
      <c r="K28" s="36"/>
      <c r="L28" s="36"/>
      <c r="M28" s="36"/>
      <c r="N28" s="37"/>
      <c r="P28" s="41"/>
      <c r="Q28" s="41"/>
      <c r="R28" s="41"/>
    </row>
    <row r="29" spans="2:19" ht="13.5" thickBot="1" x14ac:dyDescent="0.25">
      <c r="B29" s="38"/>
      <c r="C29" s="4"/>
      <c r="D29" s="3"/>
      <c r="E29" s="3"/>
      <c r="F29" s="15"/>
      <c r="G29" s="15"/>
      <c r="H29" s="226"/>
      <c r="I29" s="36"/>
      <c r="J29" s="36"/>
      <c r="K29" s="36"/>
      <c r="L29" s="36"/>
      <c r="M29" s="36"/>
      <c r="N29" s="37"/>
      <c r="P29" s="29"/>
      <c r="Q29" s="29"/>
      <c r="R29" s="29"/>
    </row>
    <row r="30" spans="2:19" ht="13.5" thickBot="1" x14ac:dyDescent="0.25">
      <c r="B30" s="35" t="s">
        <v>179</v>
      </c>
      <c r="C30" s="3"/>
      <c r="D30" s="3"/>
      <c r="E30" s="3"/>
      <c r="F30" s="14">
        <f>'Stato Patrimoniale (input)'!M8+'Stato Patrimoniale (input)'!M10+'Stato Patrimoniale (input)'!M22-'Stato Patrimoniale (input)'!M24+'Stato Patrimoniale (input)'!M30</f>
        <v>600</v>
      </c>
      <c r="G30" s="14">
        <f>'Stato Patrimoniale (input)'!N8+'Stato Patrimoniale (input)'!N10+'Stato Patrimoniale (input)'!N22-'Stato Patrimoniale (input)'!N24+'Stato Patrimoniale (input)'!N30</f>
        <v>600</v>
      </c>
      <c r="H30" s="226"/>
      <c r="I30" s="81" t="s">
        <v>139</v>
      </c>
      <c r="J30" s="81"/>
      <c r="K30" s="81"/>
      <c r="L30" s="81"/>
      <c r="M30" s="218">
        <f>'Stato Patrimoniale (input)'!M24</f>
        <v>800</v>
      </c>
      <c r="N30" s="218">
        <f>'Stato Patrimoniale (input)'!N24</f>
        <v>800</v>
      </c>
      <c r="P30" s="43" t="s">
        <v>155</v>
      </c>
      <c r="Q30" s="44">
        <f>Q25+Q27</f>
        <v>60</v>
      </c>
      <c r="R30" s="44">
        <f>R25+R27</f>
        <v>60</v>
      </c>
    </row>
    <row r="31" spans="2:19" ht="13.5" thickBot="1" x14ac:dyDescent="0.25">
      <c r="B31" s="38"/>
      <c r="C31" s="3"/>
      <c r="D31" s="3"/>
      <c r="E31" s="3"/>
      <c r="F31" s="15"/>
      <c r="G31" s="15"/>
      <c r="H31" s="226"/>
      <c r="I31" s="36"/>
      <c r="J31" s="36"/>
      <c r="K31" s="36"/>
      <c r="L31" s="36"/>
      <c r="M31" s="36"/>
      <c r="N31" s="37"/>
      <c r="P31" s="29"/>
      <c r="Q31" s="44"/>
      <c r="R31" s="29"/>
    </row>
    <row r="32" spans="2:19" ht="13.5" thickBot="1" x14ac:dyDescent="0.25">
      <c r="B32" s="38"/>
      <c r="C32" s="4" t="s">
        <v>18</v>
      </c>
      <c r="D32" s="3"/>
      <c r="E32" s="3"/>
      <c r="F32" s="14">
        <f>'Stato Patrimoniale (input)'!M26</f>
        <v>450</v>
      </c>
      <c r="G32" s="40">
        <f>'Stato Patrimoniale (input)'!N26</f>
        <v>450</v>
      </c>
      <c r="H32" s="226"/>
      <c r="I32" s="36"/>
      <c r="J32" s="4" t="s">
        <v>17</v>
      </c>
      <c r="K32" s="4"/>
      <c r="L32" s="4"/>
      <c r="M32" s="14">
        <f>'Stato Patrimoniale (input)'!M24</f>
        <v>800</v>
      </c>
      <c r="N32" s="14">
        <f>'Stato Patrimoniale (input)'!N24</f>
        <v>800</v>
      </c>
      <c r="P32" s="87" t="s">
        <v>43</v>
      </c>
      <c r="Q32" s="83">
        <f>'Conto Economico (input)'!M22</f>
        <v>0</v>
      </c>
      <c r="R32" s="83">
        <f>'Conto Economico (input)'!N22</f>
        <v>0</v>
      </c>
      <c r="S32" s="45"/>
    </row>
    <row r="33" spans="1:19" ht="13.5" thickBot="1" x14ac:dyDescent="0.25">
      <c r="B33" s="38"/>
      <c r="C33" s="3"/>
      <c r="D33" s="3"/>
      <c r="E33" s="3"/>
      <c r="F33" s="15"/>
      <c r="G33" s="15"/>
      <c r="H33" s="226"/>
      <c r="I33" s="36"/>
      <c r="J33" s="36"/>
      <c r="K33" s="36"/>
      <c r="L33" s="36"/>
      <c r="M33" s="36"/>
      <c r="N33" s="37"/>
      <c r="P33" s="74"/>
      <c r="Q33" s="74"/>
      <c r="R33" s="74"/>
      <c r="S33" s="45"/>
    </row>
    <row r="34" spans="1:19" ht="13.5" thickBot="1" x14ac:dyDescent="0.25">
      <c r="B34" s="75" t="s">
        <v>136</v>
      </c>
      <c r="C34" s="76"/>
      <c r="D34" s="76"/>
      <c r="E34" s="77"/>
      <c r="F34" s="218">
        <f>F20+F26-F30</f>
        <v>600</v>
      </c>
      <c r="G34" s="222">
        <f>G20+G26-G30</f>
        <v>600</v>
      </c>
      <c r="H34" s="226"/>
      <c r="I34" s="36"/>
      <c r="J34" s="36"/>
      <c r="K34" s="36"/>
      <c r="L34" s="36"/>
      <c r="M34" s="36"/>
      <c r="N34" s="37"/>
      <c r="P34" s="82" t="s">
        <v>44</v>
      </c>
      <c r="Q34" s="44">
        <f>Q30+Q32</f>
        <v>60</v>
      </c>
      <c r="R34" s="44">
        <f>R30+R32</f>
        <v>60</v>
      </c>
      <c r="S34" s="46"/>
    </row>
    <row r="35" spans="1:19" ht="13.5" thickBot="1" x14ac:dyDescent="0.25">
      <c r="B35" s="376"/>
      <c r="C35" s="377"/>
      <c r="D35" s="377"/>
      <c r="E35" s="378"/>
      <c r="F35" s="286"/>
      <c r="G35" s="286"/>
      <c r="H35" s="226"/>
      <c r="I35" s="36"/>
      <c r="J35" s="36"/>
      <c r="K35" s="36"/>
      <c r="L35" s="36"/>
      <c r="M35" s="36"/>
      <c r="N35" s="37"/>
      <c r="P35" s="74"/>
      <c r="Q35" s="74"/>
      <c r="R35" s="74"/>
      <c r="S35" s="45"/>
    </row>
    <row r="36" spans="1:19" ht="13.5" thickBot="1" x14ac:dyDescent="0.25">
      <c r="B36" s="59" t="s">
        <v>224</v>
      </c>
      <c r="C36" s="377"/>
      <c r="D36" s="377"/>
      <c r="E36" s="378"/>
      <c r="F36" s="186">
        <f>IF('Stato Patrimoniale (input)'!F30&gt;3%*'Conto Economico (input)'!F10,'Stato Patrimoniale (input)'!F30,0)</f>
        <v>0</v>
      </c>
      <c r="G36" s="186">
        <f>IF('Stato Patrimoniale (input)'!G30&gt;3%*'Conto Economico (input)'!G10,'Stato Patrimoniale (input)'!G30,0)</f>
        <v>0</v>
      </c>
      <c r="H36" s="226"/>
      <c r="I36" s="36"/>
      <c r="J36" s="36"/>
      <c r="K36" s="36"/>
      <c r="L36" s="36"/>
      <c r="M36" s="36"/>
      <c r="N36" s="37"/>
      <c r="P36" s="29" t="s">
        <v>178</v>
      </c>
      <c r="Q36" s="84">
        <f>'Conto Economico (input)'!M26</f>
        <v>30</v>
      </c>
      <c r="R36" s="84">
        <f>'Conto Economico (input)'!N26</f>
        <v>30</v>
      </c>
      <c r="S36" s="74"/>
    </row>
    <row r="37" spans="1:19" ht="13.5" thickBot="1" x14ac:dyDescent="0.25">
      <c r="B37" s="38"/>
      <c r="C37" s="3"/>
      <c r="D37" s="3"/>
      <c r="E37" s="3"/>
      <c r="F37" s="15"/>
      <c r="G37" s="15"/>
      <c r="H37" s="226"/>
      <c r="I37" s="36"/>
      <c r="J37" s="36"/>
      <c r="K37" s="36"/>
      <c r="L37" s="36"/>
      <c r="M37" s="36"/>
      <c r="N37" s="37"/>
      <c r="P37" s="82"/>
      <c r="Q37" s="82"/>
      <c r="R37" s="82"/>
      <c r="S37" s="45"/>
    </row>
    <row r="38" spans="1:19" ht="13.5" thickBot="1" x14ac:dyDescent="0.25">
      <c r="B38" s="78"/>
      <c r="C38" s="79" t="s">
        <v>137</v>
      </c>
      <c r="D38" s="80"/>
      <c r="E38" s="80"/>
      <c r="F38" s="218">
        <f>F18+F34+F36</f>
        <v>1200</v>
      </c>
      <c r="G38" s="218">
        <f>G18+G34+G36</f>
        <v>1200</v>
      </c>
      <c r="H38" s="227"/>
      <c r="I38" s="80"/>
      <c r="J38" s="79" t="s">
        <v>140</v>
      </c>
      <c r="K38" s="80"/>
      <c r="L38" s="80"/>
      <c r="M38" s="218">
        <f>M30+M18+M10</f>
        <v>1200</v>
      </c>
      <c r="N38" s="218">
        <f>N30+N18+N10</f>
        <v>1200</v>
      </c>
      <c r="P38" s="85" t="s">
        <v>46</v>
      </c>
      <c r="Q38" s="86">
        <f>'Conto Economico (input)'!M28</f>
        <v>0</v>
      </c>
      <c r="R38" s="86">
        <f>'Conto Economico (input)'!N28</f>
        <v>0</v>
      </c>
      <c r="S38" s="45"/>
    </row>
    <row r="39" spans="1:19" x14ac:dyDescent="0.2">
      <c r="P39" s="82"/>
      <c r="Q39" s="82"/>
      <c r="R39" s="82"/>
      <c r="S39" s="45"/>
    </row>
    <row r="40" spans="1:19" x14ac:dyDescent="0.2">
      <c r="P40" s="82" t="s">
        <v>47</v>
      </c>
      <c r="Q40" s="131">
        <f>Q34-Q36</f>
        <v>30</v>
      </c>
      <c r="R40" s="44">
        <f>R34-R36</f>
        <v>30</v>
      </c>
      <c r="S40" s="46"/>
    </row>
    <row r="41" spans="1:19" ht="13.5" thickBot="1" x14ac:dyDescent="0.2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</row>
    <row r="42" spans="1:19" ht="13.5" thickTop="1" x14ac:dyDescent="0.2"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8"/>
  <sheetViews>
    <sheetView view="pageBreakPreview" zoomScale="70" zoomScaleNormal="75" zoomScaleSheetLayoutView="70" workbookViewId="0">
      <selection activeCell="G23" sqref="G23"/>
    </sheetView>
  </sheetViews>
  <sheetFormatPr defaultColWidth="9.140625" defaultRowHeight="12.75" x14ac:dyDescent="0.2"/>
  <cols>
    <col min="1" max="1" width="9.140625" style="28"/>
    <col min="2" max="2" width="41.140625" style="28" bestFit="1" customWidth="1"/>
    <col min="3" max="3" width="10.5703125" style="28" bestFit="1" customWidth="1"/>
    <col min="4" max="4" width="6.5703125" style="51" customWidth="1"/>
    <col min="5" max="5" width="10.5703125" style="28" bestFit="1" customWidth="1"/>
    <col min="6" max="16384" width="9.140625" style="28"/>
  </cols>
  <sheetData>
    <row r="1" spans="1:7" s="217" customFormat="1" x14ac:dyDescent="0.2"/>
    <row r="2" spans="1:7" s="216" customFormat="1" ht="26.25" x14ac:dyDescent="0.4">
      <c r="A2" s="214" t="s">
        <v>211</v>
      </c>
      <c r="B2" s="215"/>
      <c r="C2" s="215"/>
      <c r="D2" s="215"/>
      <c r="E2" s="215"/>
      <c r="F2" s="215"/>
      <c r="G2" s="215"/>
    </row>
    <row r="3" spans="1:7" ht="13.5" thickBot="1" x14ac:dyDescent="0.25"/>
    <row r="4" spans="1:7" ht="13.5" thickBot="1" x14ac:dyDescent="0.25">
      <c r="B4" s="272" t="s">
        <v>159</v>
      </c>
      <c r="C4" s="91">
        <f>'BILANCIO RIC. P-G (output)'!G4</f>
        <v>2018</v>
      </c>
      <c r="D4" s="52" t="s">
        <v>156</v>
      </c>
      <c r="E4" s="91">
        <f>C4+1</f>
        <v>2019</v>
      </c>
    </row>
    <row r="5" spans="1:7" ht="13.5" thickBot="1" x14ac:dyDescent="0.25">
      <c r="B5" s="57"/>
      <c r="C5" s="92"/>
      <c r="D5" s="72"/>
      <c r="E5" s="93"/>
    </row>
    <row r="6" spans="1:7" ht="13.5" thickBot="1" x14ac:dyDescent="0.25">
      <c r="B6" s="273" t="s">
        <v>1</v>
      </c>
      <c r="C6" s="88">
        <v>12</v>
      </c>
      <c r="D6" s="53"/>
      <c r="E6" s="88">
        <v>12</v>
      </c>
    </row>
    <row r="7" spans="1:7" x14ac:dyDescent="0.2">
      <c r="B7" s="57"/>
      <c r="C7" s="94"/>
      <c r="D7" s="56"/>
      <c r="E7" s="95"/>
    </row>
    <row r="8" spans="1:7" x14ac:dyDescent="0.2">
      <c r="B8" s="57" t="s">
        <v>157</v>
      </c>
      <c r="C8" s="96">
        <f>'BILANCIO RIC. P-G (output)'!R9</f>
        <v>1200</v>
      </c>
      <c r="D8" s="73">
        <f>E8/C8-1</f>
        <v>0</v>
      </c>
      <c r="E8" s="97">
        <f>'BILANCIO RIC. P-G (output)'!Q9</f>
        <v>1200</v>
      </c>
    </row>
    <row r="9" spans="1:7" x14ac:dyDescent="0.2">
      <c r="B9" s="57" t="s">
        <v>158</v>
      </c>
      <c r="C9" s="96">
        <f>'BILANCIO RIC. P-G (output)'!G38</f>
        <v>1200</v>
      </c>
      <c r="D9" s="73">
        <f>E9/C9-1</f>
        <v>0</v>
      </c>
      <c r="E9" s="97">
        <f>'BILANCIO RIC. P-G (output)'!F38</f>
        <v>1200</v>
      </c>
    </row>
    <row r="10" spans="1:7" x14ac:dyDescent="0.2">
      <c r="B10" s="57"/>
      <c r="C10" s="94"/>
      <c r="D10" s="56"/>
      <c r="E10" s="95"/>
    </row>
    <row r="11" spans="1:7" x14ac:dyDescent="0.2">
      <c r="B11" s="59" t="s">
        <v>160</v>
      </c>
      <c r="C11" s="98">
        <f>C8/C9</f>
        <v>1</v>
      </c>
      <c r="D11" s="99"/>
      <c r="E11" s="100">
        <f>E8/E9</f>
        <v>1</v>
      </c>
    </row>
    <row r="12" spans="1:7" x14ac:dyDescent="0.2">
      <c r="B12" s="57"/>
      <c r="C12" s="94"/>
      <c r="D12" s="56"/>
      <c r="E12" s="95"/>
    </row>
    <row r="13" spans="1:7" x14ac:dyDescent="0.2">
      <c r="B13" s="57" t="s">
        <v>135</v>
      </c>
      <c r="C13" s="96">
        <f>'BILANCIO RIC. P-G (output)'!G18</f>
        <v>600</v>
      </c>
      <c r="D13" s="73">
        <f>E13/C13-1</f>
        <v>0</v>
      </c>
      <c r="E13" s="97">
        <f>'BILANCIO RIC. P-G (output)'!F18</f>
        <v>600</v>
      </c>
    </row>
    <row r="14" spans="1:7" x14ac:dyDescent="0.2">
      <c r="B14" s="57" t="s">
        <v>136</v>
      </c>
      <c r="C14" s="96">
        <f>'BILANCIO RIC. P-G (output)'!G34</f>
        <v>600</v>
      </c>
      <c r="D14" s="73">
        <f>E14/C14-1</f>
        <v>0</v>
      </c>
      <c r="E14" s="97">
        <f>'BILANCIO RIC. P-G (output)'!F34</f>
        <v>600</v>
      </c>
    </row>
    <row r="15" spans="1:7" x14ac:dyDescent="0.2">
      <c r="B15" s="57"/>
      <c r="C15" s="94"/>
      <c r="D15" s="56"/>
      <c r="E15" s="95"/>
    </row>
    <row r="16" spans="1:7" x14ac:dyDescent="0.2">
      <c r="B16" s="59" t="s">
        <v>161</v>
      </c>
      <c r="C16" s="101">
        <f>C14/C8*360</f>
        <v>180</v>
      </c>
      <c r="D16" s="102"/>
      <c r="E16" s="103">
        <f>E14/E8*360</f>
        <v>180</v>
      </c>
    </row>
    <row r="17" spans="2:5" x14ac:dyDescent="0.2">
      <c r="B17" s="57"/>
      <c r="C17" s="94"/>
      <c r="D17" s="56"/>
      <c r="E17" s="95"/>
    </row>
    <row r="18" spans="2:5" x14ac:dyDescent="0.2">
      <c r="B18" s="57" t="s">
        <v>162</v>
      </c>
      <c r="C18" s="96">
        <f>'BILANCIO RIC. P-G (output)'!N10</f>
        <v>200</v>
      </c>
      <c r="D18" s="73">
        <f>E18/C18-1</f>
        <v>0</v>
      </c>
      <c r="E18" s="97">
        <f>'BILANCIO RIC. P-G (output)'!M10</f>
        <v>200</v>
      </c>
    </row>
    <row r="19" spans="2:5" x14ac:dyDescent="0.2">
      <c r="B19" s="57" t="s">
        <v>163</v>
      </c>
      <c r="C19" s="96">
        <f>'BILANCIO RIC. P-G (output)'!N18</f>
        <v>200</v>
      </c>
      <c r="D19" s="73">
        <f>E19/C19-1</f>
        <v>0</v>
      </c>
      <c r="E19" s="97">
        <f>'BILANCIO RIC. P-G (output)'!M18</f>
        <v>200</v>
      </c>
    </row>
    <row r="20" spans="2:5" x14ac:dyDescent="0.2">
      <c r="B20" s="57"/>
      <c r="C20" s="94"/>
      <c r="D20" s="56"/>
      <c r="E20" s="95"/>
    </row>
    <row r="21" spans="2:5" x14ac:dyDescent="0.2">
      <c r="B21" s="59" t="s">
        <v>164</v>
      </c>
      <c r="C21" s="60">
        <f>(C18+C19)/C13</f>
        <v>0.66666666666666663</v>
      </c>
      <c r="D21" s="61"/>
      <c r="E21" s="62">
        <f>(E18+E19)/E13</f>
        <v>0.66666666666666663</v>
      </c>
    </row>
    <row r="22" spans="2:5" x14ac:dyDescent="0.2">
      <c r="B22" s="57"/>
      <c r="C22" s="94"/>
      <c r="D22" s="56"/>
      <c r="E22" s="95"/>
    </row>
    <row r="23" spans="2:5" x14ac:dyDescent="0.2">
      <c r="B23" s="57" t="s">
        <v>165</v>
      </c>
      <c r="C23" s="96">
        <f>'BILANCIO RIC. P-G (output)'!N30</f>
        <v>800</v>
      </c>
      <c r="D23" s="73">
        <f>E23/C23-1</f>
        <v>0</v>
      </c>
      <c r="E23" s="97">
        <f>'BILANCIO RIC. P-G (output)'!M30</f>
        <v>800</v>
      </c>
    </row>
    <row r="24" spans="2:5" x14ac:dyDescent="0.2">
      <c r="B24" s="57" t="s">
        <v>166</v>
      </c>
      <c r="C24" s="96">
        <f>C19+C23</f>
        <v>1000</v>
      </c>
      <c r="D24" s="73">
        <f>E24/C24-1</f>
        <v>0</v>
      </c>
      <c r="E24" s="97">
        <f>E19+E23</f>
        <v>1000</v>
      </c>
    </row>
    <row r="25" spans="2:5" x14ac:dyDescent="0.2">
      <c r="B25" s="57"/>
      <c r="C25" s="94"/>
      <c r="D25" s="56"/>
      <c r="E25" s="95"/>
    </row>
    <row r="26" spans="2:5" x14ac:dyDescent="0.2">
      <c r="B26" s="59" t="s">
        <v>167</v>
      </c>
      <c r="C26" s="104">
        <f>C24/C18</f>
        <v>5</v>
      </c>
      <c r="D26" s="105"/>
      <c r="E26" s="106">
        <f>E24/E18</f>
        <v>5</v>
      </c>
    </row>
    <row r="27" spans="2:5" x14ac:dyDescent="0.2">
      <c r="B27" s="59"/>
      <c r="C27" s="63"/>
      <c r="D27" s="64"/>
      <c r="E27" s="65"/>
    </row>
    <row r="28" spans="2:5" x14ac:dyDescent="0.2">
      <c r="B28" s="59" t="s">
        <v>168</v>
      </c>
      <c r="C28" s="107">
        <f>'BILANCIO RIC. P-G (output)'!R21/'QUADRO DI SINTESI (output)'!C9</f>
        <v>0.1</v>
      </c>
      <c r="D28" s="64"/>
      <c r="E28" s="108">
        <f>'BILANCIO RIC. P-G (output)'!Q21/'QUADRO DI SINTESI (output)'!E9</f>
        <v>0.1</v>
      </c>
    </row>
    <row r="29" spans="2:5" x14ac:dyDescent="0.2">
      <c r="B29" s="59" t="s">
        <v>169</v>
      </c>
      <c r="C29" s="107">
        <f>'BILANCIO RIC. P-G (output)'!R23/'QUADRO DI SINTESI (output)'!C24</f>
        <v>0.06</v>
      </c>
      <c r="D29" s="64"/>
      <c r="E29" s="108">
        <f>'BILANCIO RIC. P-G (output)'!Q23/'QUADRO DI SINTESI (output)'!E24</f>
        <v>0.06</v>
      </c>
    </row>
    <row r="30" spans="2:5" x14ac:dyDescent="0.2">
      <c r="B30" s="59"/>
      <c r="C30" s="63"/>
      <c r="D30" s="64"/>
      <c r="E30" s="65"/>
    </row>
    <row r="31" spans="2:5" ht="13.5" thickBot="1" x14ac:dyDescent="0.25">
      <c r="B31" s="68" t="s">
        <v>170</v>
      </c>
      <c r="C31" s="86">
        <f>'BILANCIO RIC. P-G (output)'!R40</f>
        <v>30</v>
      </c>
      <c r="D31" s="109"/>
      <c r="E31" s="110">
        <f>'BILANCIO RIC. P-G (output)'!Q40</f>
        <v>30</v>
      </c>
    </row>
    <row r="32" spans="2:5" ht="13.5" thickBot="1" x14ac:dyDescent="0.25">
      <c r="B32" s="43"/>
      <c r="C32" s="44"/>
      <c r="D32" s="54"/>
      <c r="E32" s="44"/>
    </row>
    <row r="33" spans="1:7" ht="13.5" thickBot="1" x14ac:dyDescent="0.25">
      <c r="B33" s="55" t="s">
        <v>171</v>
      </c>
      <c r="C33" s="116"/>
      <c r="D33" s="117"/>
      <c r="E33" s="137"/>
    </row>
    <row r="34" spans="1:7" x14ac:dyDescent="0.2">
      <c r="B34" s="57"/>
      <c r="C34" s="94"/>
      <c r="D34" s="56"/>
      <c r="E34" s="95"/>
    </row>
    <row r="35" spans="1:7" x14ac:dyDescent="0.2">
      <c r="B35" s="57" t="s">
        <v>172</v>
      </c>
      <c r="C35" s="111">
        <f>'BILANCIO RIC. P-G (output)'!G20/'QUADRO DI SINTESI (output)'!C8*360</f>
        <v>180</v>
      </c>
      <c r="D35" s="58"/>
      <c r="E35" s="112">
        <f>'BILANCIO RIC. P-G (output)'!F20/'QUADRO DI SINTESI (output)'!E8*360</f>
        <v>180</v>
      </c>
    </row>
    <row r="36" spans="1:7" x14ac:dyDescent="0.2">
      <c r="B36" s="57" t="s">
        <v>173</v>
      </c>
      <c r="C36" s="111">
        <f>'BILANCIO RIC. P-G (output)'!G26/'QUADRO DI SINTESI (output)'!C8*360</f>
        <v>180</v>
      </c>
      <c r="D36" s="58"/>
      <c r="E36" s="112">
        <f>'BILANCIO RIC. P-G (output)'!F26/'QUADRO DI SINTESI (output)'!E8*360</f>
        <v>180</v>
      </c>
    </row>
    <row r="37" spans="1:7" x14ac:dyDescent="0.2">
      <c r="B37" s="57" t="s">
        <v>174</v>
      </c>
      <c r="C37" s="111">
        <f>'BILANCIO RIC. P-G (output)'!G30/'QUADRO DI SINTESI (output)'!C8*360</f>
        <v>180</v>
      </c>
      <c r="D37" s="58"/>
      <c r="E37" s="112">
        <f>'BILANCIO RIC. P-G (output)'!F30/'QUADRO DI SINTESI (output)'!E8*360</f>
        <v>180</v>
      </c>
    </row>
    <row r="38" spans="1:7" x14ac:dyDescent="0.2">
      <c r="B38" s="57"/>
      <c r="C38" s="94"/>
      <c r="D38" s="56"/>
      <c r="E38" s="95"/>
    </row>
    <row r="39" spans="1:7" s="36" customFormat="1" x14ac:dyDescent="0.2">
      <c r="B39" s="59" t="s">
        <v>224</v>
      </c>
      <c r="C39" s="94">
        <f>'BILANCIO RIC. P-G (output)'!G36</f>
        <v>0</v>
      </c>
      <c r="D39" s="56"/>
      <c r="E39" s="95">
        <f>'BILANCIO RIC. P-G (output)'!F36</f>
        <v>0</v>
      </c>
    </row>
    <row r="40" spans="1:7" x14ac:dyDescent="0.2">
      <c r="B40" s="57"/>
      <c r="C40" s="94"/>
      <c r="D40" s="56"/>
      <c r="E40" s="95"/>
    </row>
    <row r="41" spans="1:7" x14ac:dyDescent="0.2">
      <c r="B41" s="59" t="s">
        <v>175</v>
      </c>
      <c r="C41" s="60">
        <f>'BILANCIO RIC. P-G (output)'!R11/'BILANCIO RIC. P-G (output)'!R9</f>
        <v>0.5</v>
      </c>
      <c r="D41" s="61"/>
      <c r="E41" s="62">
        <f>'BILANCIO RIC. P-G (output)'!Q11/'BILANCIO RIC. P-G (output)'!Q9</f>
        <v>0.5</v>
      </c>
    </row>
    <row r="42" spans="1:7" x14ac:dyDescent="0.2">
      <c r="B42" s="59"/>
      <c r="C42" s="63"/>
      <c r="D42" s="64"/>
      <c r="E42" s="65"/>
    </row>
    <row r="43" spans="1:7" x14ac:dyDescent="0.2">
      <c r="B43" s="59" t="s">
        <v>176</v>
      </c>
      <c r="C43" s="66">
        <f>'BILANCIO RIC. P-G (output)'!G10</f>
        <v>100</v>
      </c>
      <c r="D43" s="64"/>
      <c r="E43" s="67">
        <f>'BILANCIO RIC. P-G (output)'!F10</f>
        <v>100</v>
      </c>
    </row>
    <row r="44" spans="1:7" x14ac:dyDescent="0.2">
      <c r="B44" s="59"/>
      <c r="C44" s="63"/>
      <c r="D44" s="64"/>
      <c r="E44" s="65"/>
    </row>
    <row r="45" spans="1:7" ht="13.5" thickBot="1" x14ac:dyDescent="0.25">
      <c r="B45" s="68" t="s">
        <v>177</v>
      </c>
      <c r="C45" s="69">
        <f>'BILANCIO RIC. P-G (output)'!R19/'BILANCIO RIC. P-G (output)'!G18</f>
        <v>0.2</v>
      </c>
      <c r="D45" s="70"/>
      <c r="E45" s="71">
        <f>'BILANCIO RIC. P-G (output)'!Q19/'BILANCIO RIC. P-G (output)'!F18</f>
        <v>0.2</v>
      </c>
    </row>
    <row r="47" spans="1:7" ht="13.5" thickBot="1" x14ac:dyDescent="0.25">
      <c r="A47" s="224"/>
      <c r="B47" s="224"/>
      <c r="C47" s="224"/>
      <c r="D47" s="228"/>
      <c r="E47" s="224"/>
      <c r="F47" s="224"/>
      <c r="G47" s="224"/>
    </row>
    <row r="48" spans="1:7" ht="13.5" thickTop="1" x14ac:dyDescent="0.2"/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>
    <pageSetUpPr fitToPage="1"/>
  </sheetPr>
  <dimension ref="A1:O67"/>
  <sheetViews>
    <sheetView view="pageBreakPreview" zoomScale="60" zoomScaleNormal="75" workbookViewId="0">
      <selection activeCell="M9" sqref="M9"/>
    </sheetView>
  </sheetViews>
  <sheetFormatPr defaultColWidth="9.140625" defaultRowHeight="12.75" x14ac:dyDescent="0.2"/>
  <cols>
    <col min="1" max="1" width="5" style="3" customWidth="1"/>
    <col min="2" max="5" width="12.42578125" style="3" customWidth="1"/>
    <col min="6" max="7" width="11.42578125" style="4" bestFit="1" customWidth="1"/>
    <col min="8" max="8" width="2.42578125" style="3" customWidth="1"/>
    <col min="9" max="12" width="12.42578125" style="3" customWidth="1"/>
    <col min="13" max="14" width="11.42578125" style="4" bestFit="1" customWidth="1"/>
    <col min="15" max="16384" width="9.140625" style="3"/>
  </cols>
  <sheetData>
    <row r="1" spans="1:15" s="8" customFormat="1" x14ac:dyDescent="0.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s="8" customFormat="1" ht="26.25" x14ac:dyDescent="0.4">
      <c r="A2" s="214" t="s">
        <v>188</v>
      </c>
      <c r="B2" s="215"/>
      <c r="C2" s="215"/>
      <c r="D2" s="215"/>
      <c r="E2" s="215"/>
      <c r="F2" s="215"/>
      <c r="G2" s="215"/>
      <c r="H2" s="214"/>
      <c r="I2" s="215"/>
      <c r="J2" s="215"/>
      <c r="K2" s="215"/>
      <c r="L2" s="215"/>
      <c r="M2" s="215"/>
      <c r="N2" s="215"/>
      <c r="O2" s="215"/>
    </row>
    <row r="3" spans="1:15" s="8" customFormat="1" x14ac:dyDescent="0.2">
      <c r="A3" s="6"/>
      <c r="F3" s="6"/>
      <c r="G3" s="6"/>
      <c r="M3" s="6"/>
      <c r="N3" s="6"/>
    </row>
    <row r="5" spans="1:15" ht="13.5" thickBot="1" x14ac:dyDescent="0.25"/>
    <row r="6" spans="1:15" ht="13.5" thickBot="1" x14ac:dyDescent="0.25">
      <c r="B6" s="229" t="s">
        <v>68</v>
      </c>
      <c r="C6" s="230"/>
      <c r="D6" s="230"/>
      <c r="E6" s="231"/>
      <c r="F6" s="126">
        <f>'QUADRO DI SINTESI (output)'!E4+1</f>
        <v>2020</v>
      </c>
      <c r="G6" s="126">
        <f>F6+1</f>
        <v>2021</v>
      </c>
      <c r="I6" s="229" t="s">
        <v>71</v>
      </c>
      <c r="J6" s="230"/>
      <c r="K6" s="230"/>
      <c r="L6" s="231"/>
      <c r="M6" s="126">
        <f>F6</f>
        <v>2020</v>
      </c>
      <c r="N6" s="126">
        <f>G6</f>
        <v>2021</v>
      </c>
    </row>
    <row r="7" spans="1:15" ht="13.5" thickBot="1" x14ac:dyDescent="0.25">
      <c r="B7" s="38"/>
      <c r="C7" s="223"/>
      <c r="D7" s="223"/>
      <c r="E7" s="223"/>
      <c r="F7" s="232"/>
      <c r="G7" s="65"/>
      <c r="I7" s="38"/>
      <c r="J7" s="223"/>
      <c r="K7" s="223"/>
      <c r="L7" s="223"/>
      <c r="M7" s="232"/>
      <c r="N7" s="65"/>
    </row>
    <row r="8" spans="1:15" ht="13.5" thickBot="1" x14ac:dyDescent="0.25">
      <c r="B8" s="35" t="s">
        <v>69</v>
      </c>
      <c r="C8" s="223"/>
      <c r="D8" s="223"/>
      <c r="E8" s="223"/>
      <c r="F8" s="118">
        <v>2.5000000000000001E-2</v>
      </c>
      <c r="G8" s="118">
        <v>2.5000000000000001E-2</v>
      </c>
      <c r="I8" s="57" t="s">
        <v>84</v>
      </c>
      <c r="J8" s="223"/>
      <c r="K8" s="223"/>
      <c r="L8" s="223"/>
      <c r="M8" s="126">
        <v>177</v>
      </c>
      <c r="N8" s="126">
        <v>177</v>
      </c>
    </row>
    <row r="9" spans="1:15" ht="13.5" thickBot="1" x14ac:dyDescent="0.25">
      <c r="B9" s="35"/>
      <c r="C9" s="223"/>
      <c r="D9" s="223"/>
      <c r="E9" s="223"/>
      <c r="F9" s="233"/>
      <c r="G9" s="234"/>
      <c r="I9" s="38"/>
      <c r="J9" s="223"/>
      <c r="K9" s="223"/>
      <c r="L9" s="223"/>
      <c r="M9" s="244"/>
      <c r="N9" s="65"/>
    </row>
    <row r="10" spans="1:15" ht="13.5" thickBot="1" x14ac:dyDescent="0.25">
      <c r="B10" s="235" t="s">
        <v>133</v>
      </c>
      <c r="C10" s="236"/>
      <c r="D10" s="236"/>
      <c r="E10" s="236"/>
      <c r="F10" s="120">
        <v>0.192</v>
      </c>
      <c r="G10" s="120">
        <v>0.08</v>
      </c>
      <c r="I10" s="38" t="s">
        <v>72</v>
      </c>
      <c r="J10" s="223"/>
      <c r="K10" s="223"/>
      <c r="L10" s="223"/>
      <c r="M10" s="126">
        <v>170</v>
      </c>
      <c r="N10" s="126">
        <v>170</v>
      </c>
    </row>
    <row r="11" spans="1:15" ht="13.5" thickBot="1" x14ac:dyDescent="0.25">
      <c r="B11" s="38"/>
      <c r="C11" s="223"/>
      <c r="D11" s="223"/>
      <c r="E11" s="223"/>
      <c r="F11" s="233"/>
      <c r="G11" s="234"/>
      <c r="I11" s="38"/>
      <c r="J11" s="223"/>
      <c r="K11" s="223"/>
      <c r="L11" s="223"/>
      <c r="M11" s="244"/>
      <c r="N11" s="65"/>
    </row>
    <row r="12" spans="1:15" ht="13.5" thickBot="1" x14ac:dyDescent="0.25">
      <c r="B12" s="35" t="s">
        <v>73</v>
      </c>
      <c r="C12" s="223"/>
      <c r="D12" s="223"/>
      <c r="E12" s="223"/>
      <c r="F12" s="118">
        <v>2.5000000000000001E-2</v>
      </c>
      <c r="G12" s="118">
        <v>2.5000000000000001E-2</v>
      </c>
      <c r="I12" s="38" t="s">
        <v>85</v>
      </c>
      <c r="J12" s="223"/>
      <c r="K12" s="223"/>
      <c r="L12" s="223"/>
      <c r="M12" s="126">
        <v>215</v>
      </c>
      <c r="N12" s="126">
        <v>205</v>
      </c>
    </row>
    <row r="13" spans="1:15" ht="13.5" thickBot="1" x14ac:dyDescent="0.25">
      <c r="B13" s="38"/>
      <c r="C13" s="223"/>
      <c r="D13" s="223"/>
      <c r="E13" s="223"/>
      <c r="F13" s="233"/>
      <c r="G13" s="234"/>
      <c r="I13" s="38"/>
      <c r="J13" s="223"/>
      <c r="K13" s="223"/>
      <c r="L13" s="223"/>
      <c r="M13" s="232"/>
      <c r="N13" s="65"/>
    </row>
    <row r="14" spans="1:15" ht="13.5" thickBot="1" x14ac:dyDescent="0.25">
      <c r="B14" s="35" t="s">
        <v>130</v>
      </c>
      <c r="C14" s="223"/>
      <c r="D14" s="223"/>
      <c r="E14" s="223"/>
      <c r="F14" s="17"/>
      <c r="G14" s="17"/>
      <c r="I14" s="38" t="s">
        <v>121</v>
      </c>
      <c r="J14" s="223"/>
      <c r="K14" s="223"/>
      <c r="L14" s="223"/>
      <c r="M14" s="127">
        <v>2.5000000000000001E-2</v>
      </c>
      <c r="N14" s="127">
        <f>M14</f>
        <v>2.5000000000000001E-2</v>
      </c>
    </row>
    <row r="15" spans="1:15" ht="13.5" thickBot="1" x14ac:dyDescent="0.25">
      <c r="B15" s="38"/>
      <c r="C15" s="223"/>
      <c r="D15" s="223"/>
      <c r="E15" s="223"/>
      <c r="F15" s="233"/>
      <c r="G15" s="234"/>
      <c r="I15" s="38"/>
      <c r="J15" s="223"/>
      <c r="K15" s="223"/>
      <c r="L15" s="223"/>
      <c r="M15" s="232"/>
      <c r="N15" s="65"/>
    </row>
    <row r="16" spans="1:15" ht="13.5" thickBot="1" x14ac:dyDescent="0.25">
      <c r="B16" s="35" t="s">
        <v>74</v>
      </c>
      <c r="C16" s="223"/>
      <c r="D16" s="223"/>
      <c r="E16" s="223"/>
      <c r="F16" s="118">
        <v>2.5000000000000001E-2</v>
      </c>
      <c r="G16" s="118">
        <v>2.5000000000000001E-2</v>
      </c>
      <c r="I16" s="38" t="s">
        <v>122</v>
      </c>
      <c r="J16" s="223"/>
      <c r="K16" s="223"/>
      <c r="L16" s="223"/>
      <c r="M16" s="127">
        <f>M14</f>
        <v>2.5000000000000001E-2</v>
      </c>
      <c r="N16" s="127">
        <f>N14</f>
        <v>2.5000000000000001E-2</v>
      </c>
    </row>
    <row r="17" spans="2:15" ht="13.5" thickBot="1" x14ac:dyDescent="0.25">
      <c r="B17" s="35"/>
      <c r="C17" s="223"/>
      <c r="D17" s="223"/>
      <c r="E17" s="223"/>
      <c r="F17" s="233"/>
      <c r="G17" s="234"/>
      <c r="I17" s="38"/>
      <c r="J17" s="223"/>
      <c r="K17" s="223"/>
      <c r="L17" s="223"/>
      <c r="M17" s="232"/>
      <c r="N17" s="65"/>
    </row>
    <row r="18" spans="2:15" ht="13.5" thickBot="1" x14ac:dyDescent="0.25">
      <c r="B18" s="35"/>
      <c r="C18" s="232" t="s">
        <v>223</v>
      </c>
      <c r="D18" s="223"/>
      <c r="E18" s="223"/>
      <c r="F18" s="17">
        <v>-15</v>
      </c>
      <c r="G18" s="17">
        <v>0</v>
      </c>
      <c r="I18" s="38" t="s">
        <v>127</v>
      </c>
      <c r="J18" s="223"/>
      <c r="K18" s="223"/>
      <c r="L18" s="223"/>
      <c r="M18" s="127">
        <v>2.5000000000000001E-2</v>
      </c>
      <c r="N18" s="127">
        <v>2.5000000000000001E-2</v>
      </c>
    </row>
    <row r="19" spans="2:15" ht="13.5" thickBot="1" x14ac:dyDescent="0.25">
      <c r="B19" s="38"/>
      <c r="C19" s="223"/>
      <c r="D19" s="223"/>
      <c r="E19" s="223"/>
      <c r="F19" s="233"/>
      <c r="G19" s="234"/>
      <c r="I19" s="38"/>
      <c r="J19" s="223"/>
      <c r="K19" s="223"/>
      <c r="L19" s="223"/>
      <c r="M19" s="232"/>
      <c r="N19" s="65"/>
    </row>
    <row r="20" spans="2:15" ht="13.5" thickBot="1" x14ac:dyDescent="0.25">
      <c r="B20" s="35" t="s">
        <v>124</v>
      </c>
      <c r="C20" s="223"/>
      <c r="D20" s="223"/>
      <c r="E20" s="223"/>
      <c r="F20" s="17"/>
      <c r="G20" s="17"/>
      <c r="I20" s="38" t="s">
        <v>125</v>
      </c>
      <c r="J20" s="223"/>
      <c r="K20" s="223"/>
      <c r="L20" s="223"/>
      <c r="M20" s="127">
        <v>0</v>
      </c>
      <c r="N20" s="127">
        <v>0</v>
      </c>
    </row>
    <row r="21" spans="2:15" ht="13.5" thickBot="1" x14ac:dyDescent="0.25">
      <c r="B21" s="35"/>
      <c r="C21" s="223"/>
      <c r="D21" s="223"/>
      <c r="E21" s="223"/>
      <c r="F21" s="233"/>
      <c r="G21" s="234"/>
      <c r="I21" s="38"/>
      <c r="J21" s="223"/>
      <c r="K21" s="223"/>
      <c r="L21" s="223"/>
      <c r="M21" s="232"/>
      <c r="N21" s="65"/>
    </row>
    <row r="22" spans="2:15" ht="13.5" thickBot="1" x14ac:dyDescent="0.25">
      <c r="B22" s="35"/>
      <c r="C22" s="232" t="s">
        <v>123</v>
      </c>
      <c r="D22" s="223"/>
      <c r="E22" s="223"/>
      <c r="F22" s="17"/>
      <c r="G22" s="17"/>
      <c r="I22" s="38"/>
      <c r="J22" s="223"/>
      <c r="K22" s="223"/>
      <c r="L22" s="223"/>
      <c r="M22" s="232"/>
      <c r="N22" s="65"/>
    </row>
    <row r="23" spans="2:15" ht="13.5" thickBot="1" x14ac:dyDescent="0.25">
      <c r="B23" s="38"/>
      <c r="C23" s="223"/>
      <c r="D23" s="223"/>
      <c r="E23" s="223"/>
      <c r="F23" s="233"/>
      <c r="G23" s="234"/>
      <c r="I23" s="38"/>
      <c r="J23" s="223"/>
      <c r="K23" s="223"/>
      <c r="L23" s="223"/>
      <c r="M23" s="232"/>
      <c r="N23" s="65"/>
    </row>
    <row r="24" spans="2:15" ht="13.5" thickBot="1" x14ac:dyDescent="0.25">
      <c r="B24" s="35" t="s">
        <v>131</v>
      </c>
      <c r="C24" s="223"/>
      <c r="D24" s="223"/>
      <c r="E24" s="223"/>
      <c r="F24" s="17"/>
      <c r="G24" s="17"/>
      <c r="I24" s="38"/>
      <c r="J24" s="223"/>
      <c r="K24" s="223"/>
      <c r="L24" s="223"/>
      <c r="M24" s="232"/>
      <c r="N24" s="65"/>
    </row>
    <row r="25" spans="2:15" ht="13.5" thickBot="1" x14ac:dyDescent="0.25">
      <c r="B25" s="38"/>
      <c r="C25" s="223"/>
      <c r="D25" s="223"/>
      <c r="E25" s="223"/>
      <c r="F25" s="233"/>
      <c r="G25" s="234"/>
      <c r="I25" s="38"/>
      <c r="J25" s="223"/>
      <c r="K25" s="223"/>
      <c r="L25" s="223"/>
      <c r="M25" s="232"/>
      <c r="N25" s="65"/>
    </row>
    <row r="26" spans="2:15" ht="13.5" thickBot="1" x14ac:dyDescent="0.25">
      <c r="B26" s="35" t="s">
        <v>129</v>
      </c>
      <c r="C26" s="223"/>
      <c r="D26" s="223"/>
      <c r="E26" s="223"/>
      <c r="F26" s="121"/>
      <c r="G26" s="121"/>
      <c r="I26" s="38"/>
      <c r="J26" s="223"/>
      <c r="K26" s="223"/>
      <c r="L26" s="223"/>
      <c r="M26" s="232"/>
      <c r="N26" s="65"/>
    </row>
    <row r="27" spans="2:15" ht="13.5" thickBot="1" x14ac:dyDescent="0.25">
      <c r="B27" s="38"/>
      <c r="C27" s="223"/>
      <c r="D27" s="223"/>
      <c r="E27" s="223"/>
      <c r="F27" s="233"/>
      <c r="G27" s="234"/>
      <c r="I27" s="38"/>
      <c r="J27" s="223"/>
      <c r="K27" s="223"/>
      <c r="L27" s="223"/>
      <c r="M27" s="232"/>
      <c r="N27" s="65"/>
    </row>
    <row r="28" spans="2:15" ht="13.5" thickBot="1" x14ac:dyDescent="0.25">
      <c r="B28" s="35" t="s">
        <v>94</v>
      </c>
      <c r="C28" s="223"/>
      <c r="D28" s="223"/>
      <c r="E28" s="223"/>
      <c r="F28" s="118">
        <v>0.06</v>
      </c>
      <c r="G28" s="118">
        <v>0.06</v>
      </c>
      <c r="I28" s="38"/>
      <c r="J28" s="223"/>
      <c r="K28" s="223"/>
      <c r="L28" s="223"/>
      <c r="M28" s="232"/>
      <c r="N28" s="65"/>
      <c r="O28" s="18"/>
    </row>
    <row r="29" spans="2:15" ht="13.5" thickBot="1" x14ac:dyDescent="0.25">
      <c r="B29" s="38"/>
      <c r="C29" s="223"/>
      <c r="D29" s="223"/>
      <c r="E29" s="223"/>
      <c r="F29" s="233"/>
      <c r="G29" s="234"/>
      <c r="I29" s="38"/>
      <c r="J29" s="223"/>
      <c r="K29" s="223"/>
      <c r="L29" s="223"/>
      <c r="M29" s="232"/>
      <c r="N29" s="65"/>
    </row>
    <row r="30" spans="2:15" ht="13.5" thickBot="1" x14ac:dyDescent="0.25">
      <c r="B30" s="237" t="s">
        <v>128</v>
      </c>
      <c r="C30" s="238"/>
      <c r="D30" s="238"/>
      <c r="E30" s="239"/>
      <c r="F30" s="121"/>
      <c r="G30" s="121">
        <v>0</v>
      </c>
      <c r="I30" s="38"/>
      <c r="J30" s="223"/>
      <c r="K30" s="223"/>
      <c r="L30" s="223"/>
      <c r="M30" s="232"/>
      <c r="N30" s="65"/>
    </row>
    <row r="31" spans="2:15" ht="13.5" thickBot="1" x14ac:dyDescent="0.25">
      <c r="B31" s="237"/>
      <c r="C31" s="238"/>
      <c r="D31" s="238"/>
      <c r="E31" s="239"/>
      <c r="F31" s="240"/>
      <c r="G31" s="241"/>
      <c r="I31" s="38"/>
      <c r="J31" s="223"/>
      <c r="K31" s="223"/>
      <c r="L31" s="223"/>
      <c r="M31" s="232"/>
      <c r="N31" s="65"/>
    </row>
    <row r="32" spans="2:15" ht="13.5" thickBot="1" x14ac:dyDescent="0.25">
      <c r="B32" s="237" t="s">
        <v>95</v>
      </c>
      <c r="C32" s="238"/>
      <c r="D32" s="238"/>
      <c r="E32" s="239"/>
      <c r="F32" s="123">
        <v>0.5</v>
      </c>
      <c r="G32" s="123">
        <v>0.5</v>
      </c>
      <c r="I32" s="38"/>
      <c r="J32" s="223"/>
      <c r="K32" s="223"/>
      <c r="L32" s="223"/>
      <c r="M32" s="232"/>
      <c r="N32" s="65"/>
    </row>
    <row r="33" spans="2:14" ht="13.5" thickBot="1" x14ac:dyDescent="0.25">
      <c r="B33" s="237"/>
      <c r="C33" s="238"/>
      <c r="D33" s="238"/>
      <c r="E33" s="239"/>
      <c r="F33" s="238"/>
      <c r="G33" s="241"/>
      <c r="I33" s="38"/>
      <c r="J33" s="223"/>
      <c r="K33" s="223"/>
      <c r="L33" s="223"/>
      <c r="M33" s="232"/>
      <c r="N33" s="65"/>
    </row>
    <row r="34" spans="2:14" ht="13.5" thickBot="1" x14ac:dyDescent="0.25">
      <c r="B34" s="242" t="s">
        <v>132</v>
      </c>
      <c r="C34" s="85"/>
      <c r="D34" s="85"/>
      <c r="E34" s="243"/>
      <c r="F34" s="17"/>
      <c r="G34" s="17"/>
      <c r="I34" s="245"/>
      <c r="J34" s="246"/>
      <c r="K34" s="246"/>
      <c r="L34" s="246"/>
      <c r="M34" s="247"/>
      <c r="N34" s="248"/>
    </row>
    <row r="35" spans="2:14" x14ac:dyDescent="0.2">
      <c r="B35" s="6"/>
      <c r="C35" s="6"/>
      <c r="D35" s="6"/>
      <c r="E35" s="8"/>
      <c r="F35" s="6"/>
      <c r="G35" s="122"/>
    </row>
    <row r="36" spans="2:14" x14ac:dyDescent="0.2">
      <c r="B36" s="6"/>
      <c r="C36" s="6"/>
      <c r="D36" s="6"/>
      <c r="E36" s="8"/>
      <c r="F36" s="6"/>
      <c r="G36" s="122"/>
    </row>
    <row r="37" spans="2:14" ht="13.5" thickBot="1" x14ac:dyDescent="0.25">
      <c r="G37" s="119"/>
    </row>
    <row r="38" spans="2:14" ht="13.5" thickBot="1" x14ac:dyDescent="0.25">
      <c r="B38" s="255" t="s">
        <v>75</v>
      </c>
      <c r="C38" s="256"/>
      <c r="D38" s="256"/>
      <c r="E38" s="256"/>
      <c r="F38" s="126">
        <f>F6</f>
        <v>2020</v>
      </c>
      <c r="G38" s="126">
        <f>G6</f>
        <v>2021</v>
      </c>
      <c r="I38" s="255" t="s">
        <v>86</v>
      </c>
      <c r="J38" s="256"/>
      <c r="K38" s="256"/>
      <c r="L38" s="256"/>
      <c r="M38" s="126">
        <f>M6</f>
        <v>2020</v>
      </c>
      <c r="N38" s="126">
        <f>N6</f>
        <v>2021</v>
      </c>
    </row>
    <row r="39" spans="2:14" ht="13.5" thickBot="1" x14ac:dyDescent="0.25">
      <c r="B39" s="38"/>
      <c r="C39" s="223"/>
      <c r="D39" s="223"/>
      <c r="E39" s="223"/>
      <c r="F39" s="232"/>
      <c r="G39" s="234"/>
      <c r="I39" s="38"/>
      <c r="J39" s="223"/>
      <c r="K39" s="223"/>
      <c r="L39" s="223"/>
      <c r="M39" s="232"/>
      <c r="N39" s="65"/>
    </row>
    <row r="40" spans="2:14" ht="13.5" thickBot="1" x14ac:dyDescent="0.25">
      <c r="B40" s="35" t="s">
        <v>76</v>
      </c>
      <c r="C40" s="223"/>
      <c r="D40" s="223"/>
      <c r="E40" s="223"/>
      <c r="F40" s="17">
        <v>0</v>
      </c>
      <c r="G40" s="17">
        <v>0</v>
      </c>
      <c r="I40" s="35" t="s">
        <v>87</v>
      </c>
      <c r="J40" s="223"/>
      <c r="K40" s="223"/>
      <c r="L40" s="223"/>
      <c r="M40" s="17">
        <v>30</v>
      </c>
      <c r="N40" s="17">
        <v>30</v>
      </c>
    </row>
    <row r="41" spans="2:14" ht="13.5" thickBot="1" x14ac:dyDescent="0.25">
      <c r="B41" s="38"/>
      <c r="C41" s="223"/>
      <c r="D41" s="223"/>
      <c r="E41" s="223"/>
      <c r="F41" s="249"/>
      <c r="G41" s="250"/>
      <c r="I41" s="38"/>
      <c r="J41" s="223"/>
      <c r="K41" s="223"/>
      <c r="L41" s="223"/>
      <c r="M41" s="251"/>
      <c r="N41" s="252"/>
    </row>
    <row r="42" spans="2:14" ht="13.5" thickBot="1" x14ac:dyDescent="0.25">
      <c r="B42" s="38"/>
      <c r="C42" s="232" t="s">
        <v>77</v>
      </c>
      <c r="D42" s="223"/>
      <c r="E42" s="223"/>
      <c r="F42" s="118">
        <v>0</v>
      </c>
      <c r="G42" s="118">
        <v>0</v>
      </c>
      <c r="I42" s="35" t="s">
        <v>88</v>
      </c>
      <c r="J42" s="232"/>
      <c r="K42" s="223"/>
      <c r="L42" s="223"/>
      <c r="M42" s="17"/>
      <c r="N42" s="17"/>
    </row>
    <row r="43" spans="2:14" ht="13.5" thickBot="1" x14ac:dyDescent="0.25">
      <c r="B43" s="35"/>
      <c r="C43" s="223"/>
      <c r="D43" s="223"/>
      <c r="E43" s="223"/>
      <c r="F43" s="233"/>
      <c r="G43" s="234"/>
      <c r="I43" s="38"/>
      <c r="J43" s="223"/>
      <c r="K43" s="223"/>
      <c r="L43" s="223"/>
      <c r="M43" s="232"/>
      <c r="N43" s="65"/>
    </row>
    <row r="44" spans="2:14" ht="13.5" thickBot="1" x14ac:dyDescent="0.25">
      <c r="B44" s="35" t="s">
        <v>80</v>
      </c>
      <c r="C44" s="223"/>
      <c r="D44" s="223"/>
      <c r="E44" s="223"/>
      <c r="F44" s="17"/>
      <c r="G44" s="17"/>
      <c r="I44" s="35" t="s">
        <v>89</v>
      </c>
      <c r="J44" s="223"/>
      <c r="K44" s="223"/>
      <c r="L44" s="223"/>
      <c r="M44" s="17">
        <v>30</v>
      </c>
      <c r="N44" s="17">
        <v>30</v>
      </c>
    </row>
    <row r="45" spans="2:14" ht="13.5" thickBot="1" x14ac:dyDescent="0.25">
      <c r="B45" s="38"/>
      <c r="C45" s="223"/>
      <c r="D45" s="223"/>
      <c r="E45" s="223"/>
      <c r="F45" s="233"/>
      <c r="G45" s="234"/>
      <c r="I45" s="38"/>
      <c r="J45" s="223"/>
      <c r="K45" s="223"/>
      <c r="L45" s="223"/>
      <c r="M45" s="251"/>
      <c r="N45" s="252"/>
    </row>
    <row r="46" spans="2:14" ht="13.5" thickBot="1" x14ac:dyDescent="0.25">
      <c r="B46" s="38"/>
      <c r="C46" s="232" t="s">
        <v>81</v>
      </c>
      <c r="D46" s="223"/>
      <c r="E46" s="223"/>
      <c r="F46" s="124"/>
      <c r="G46" s="124"/>
      <c r="I46" s="35" t="s">
        <v>90</v>
      </c>
      <c r="J46" s="232"/>
      <c r="K46" s="223"/>
      <c r="L46" s="223"/>
      <c r="M46" s="17">
        <v>10</v>
      </c>
      <c r="N46" s="17">
        <v>10</v>
      </c>
    </row>
    <row r="47" spans="2:14" ht="13.5" thickBot="1" x14ac:dyDescent="0.25">
      <c r="B47" s="38"/>
      <c r="C47" s="223"/>
      <c r="D47" s="223"/>
      <c r="E47" s="223"/>
      <c r="F47" s="233"/>
      <c r="G47" s="234"/>
      <c r="I47" s="38"/>
      <c r="J47" s="223"/>
      <c r="K47" s="253"/>
      <c r="L47" s="223"/>
      <c r="M47" s="232"/>
      <c r="N47" s="65"/>
    </row>
    <row r="48" spans="2:14" ht="13.5" thickBot="1" x14ac:dyDescent="0.25">
      <c r="B48" s="35" t="s">
        <v>78</v>
      </c>
      <c r="C48" s="223"/>
      <c r="D48" s="223"/>
      <c r="E48" s="223"/>
      <c r="F48" s="17">
        <v>0</v>
      </c>
      <c r="G48" s="17">
        <v>0</v>
      </c>
      <c r="I48" s="35" t="s">
        <v>91</v>
      </c>
      <c r="J48" s="223"/>
      <c r="K48" s="223"/>
      <c r="L48" s="223"/>
      <c r="M48" s="17"/>
      <c r="N48" s="17"/>
    </row>
    <row r="49" spans="2:14" ht="13.5" thickBot="1" x14ac:dyDescent="0.25">
      <c r="B49" s="38"/>
      <c r="C49" s="223"/>
      <c r="D49" s="223"/>
      <c r="E49" s="223"/>
      <c r="F49" s="233"/>
      <c r="G49" s="234"/>
      <c r="I49" s="38"/>
      <c r="J49" s="223"/>
      <c r="K49" s="223"/>
      <c r="L49" s="223"/>
      <c r="M49" s="251"/>
      <c r="N49" s="252"/>
    </row>
    <row r="50" spans="2:14" ht="13.5" thickBot="1" x14ac:dyDescent="0.25">
      <c r="B50" s="38"/>
      <c r="C50" s="232" t="s">
        <v>77</v>
      </c>
      <c r="D50" s="223"/>
      <c r="E50" s="223"/>
      <c r="F50" s="118"/>
      <c r="G50" s="118"/>
      <c r="I50" s="35" t="s">
        <v>92</v>
      </c>
      <c r="J50" s="232"/>
      <c r="K50" s="223"/>
      <c r="L50" s="223"/>
      <c r="M50" s="17"/>
      <c r="N50" s="17"/>
    </row>
    <row r="51" spans="2:14" ht="13.5" thickBot="1" x14ac:dyDescent="0.25">
      <c r="B51" s="38"/>
      <c r="C51" s="223"/>
      <c r="D51" s="223"/>
      <c r="E51" s="223"/>
      <c r="F51" s="233"/>
      <c r="G51" s="234"/>
      <c r="I51" s="38"/>
      <c r="J51" s="223"/>
      <c r="K51" s="223"/>
      <c r="L51" s="223"/>
      <c r="M51" s="232"/>
      <c r="N51" s="65"/>
    </row>
    <row r="52" spans="2:14" ht="13.5" thickBot="1" x14ac:dyDescent="0.25">
      <c r="B52" s="35" t="s">
        <v>82</v>
      </c>
      <c r="C52" s="223"/>
      <c r="D52" s="223"/>
      <c r="E52" s="223"/>
      <c r="F52" s="17">
        <v>0</v>
      </c>
      <c r="G52" s="17">
        <v>0</v>
      </c>
      <c r="I52" s="35" t="s">
        <v>126</v>
      </c>
      <c r="J52" s="223"/>
      <c r="K52" s="223"/>
      <c r="L52" s="223"/>
      <c r="M52" s="55">
        <v>0</v>
      </c>
      <c r="N52" s="126">
        <v>0</v>
      </c>
    </row>
    <row r="53" spans="2:14" ht="13.5" thickBot="1" x14ac:dyDescent="0.25">
      <c r="B53" s="38"/>
      <c r="C53" s="223"/>
      <c r="D53" s="223"/>
      <c r="E53" s="223"/>
      <c r="F53" s="233"/>
      <c r="G53" s="234"/>
      <c r="I53" s="38"/>
      <c r="J53" s="223"/>
      <c r="K53" s="223"/>
      <c r="L53" s="223"/>
      <c r="M53" s="232"/>
      <c r="N53" s="65"/>
    </row>
    <row r="54" spans="2:14" ht="13.5" thickBot="1" x14ac:dyDescent="0.25">
      <c r="B54" s="38"/>
      <c r="C54" s="232" t="s">
        <v>81</v>
      </c>
      <c r="D54" s="223"/>
      <c r="E54" s="223"/>
      <c r="F54" s="124"/>
      <c r="G54" s="124"/>
      <c r="I54" s="257" t="s">
        <v>206</v>
      </c>
      <c r="J54" s="258"/>
      <c r="K54" s="258"/>
      <c r="L54" s="254"/>
      <c r="M54" s="17">
        <v>0</v>
      </c>
      <c r="N54" s="17">
        <v>0</v>
      </c>
    </row>
    <row r="55" spans="2:14" ht="13.5" thickBot="1" x14ac:dyDescent="0.25">
      <c r="B55" s="38"/>
      <c r="C55" s="223"/>
      <c r="D55" s="223"/>
      <c r="E55" s="223"/>
      <c r="F55" s="233"/>
      <c r="G55" s="234"/>
      <c r="I55" s="259"/>
      <c r="J55" s="258"/>
      <c r="K55" s="258"/>
      <c r="L55" s="254"/>
      <c r="M55" s="251"/>
      <c r="N55" s="252"/>
    </row>
    <row r="56" spans="2:14" ht="13.5" thickBot="1" x14ac:dyDescent="0.25">
      <c r="B56" s="35" t="s">
        <v>79</v>
      </c>
      <c r="C56" s="223"/>
      <c r="D56" s="223"/>
      <c r="E56" s="223"/>
      <c r="F56" s="17">
        <v>0</v>
      </c>
      <c r="G56" s="17">
        <v>0</v>
      </c>
      <c r="I56" s="257" t="s">
        <v>207</v>
      </c>
      <c r="J56" s="260"/>
      <c r="K56" s="258"/>
      <c r="L56" s="254"/>
      <c r="M56" s="357">
        <v>10</v>
      </c>
      <c r="N56" s="17">
        <v>10</v>
      </c>
    </row>
    <row r="57" spans="2:14" ht="13.5" thickBot="1" x14ac:dyDescent="0.25">
      <c r="B57" s="38"/>
      <c r="C57" s="223"/>
      <c r="D57" s="223"/>
      <c r="E57" s="223"/>
      <c r="F57" s="233"/>
      <c r="G57" s="234"/>
      <c r="I57" s="259"/>
      <c r="J57" s="258"/>
      <c r="K57" s="258"/>
      <c r="L57" s="223"/>
      <c r="M57" s="232"/>
      <c r="N57" s="65"/>
    </row>
    <row r="58" spans="2:14" ht="13.5" thickBot="1" x14ac:dyDescent="0.25">
      <c r="B58" s="38"/>
      <c r="C58" s="232" t="s">
        <v>5</v>
      </c>
      <c r="D58" s="223"/>
      <c r="E58" s="223"/>
      <c r="F58" s="17">
        <v>0</v>
      </c>
      <c r="G58" s="17">
        <v>0</v>
      </c>
      <c r="I58" s="38"/>
      <c r="J58" s="223"/>
      <c r="K58" s="223"/>
      <c r="L58" s="223"/>
      <c r="M58" s="232"/>
      <c r="N58" s="65"/>
    </row>
    <row r="59" spans="2:14" ht="13.5" thickBot="1" x14ac:dyDescent="0.25">
      <c r="B59" s="38"/>
      <c r="C59" s="223"/>
      <c r="D59" s="223"/>
      <c r="E59" s="223"/>
      <c r="F59" s="233"/>
      <c r="G59" s="234"/>
      <c r="I59" s="38"/>
      <c r="J59" s="223"/>
      <c r="K59" s="223"/>
      <c r="L59" s="223"/>
      <c r="M59" s="232"/>
      <c r="N59" s="65"/>
    </row>
    <row r="60" spans="2:14" ht="13.5" thickBot="1" x14ac:dyDescent="0.25">
      <c r="B60" s="35" t="s">
        <v>83</v>
      </c>
      <c r="C60" s="223"/>
      <c r="D60" s="223"/>
      <c r="E60" s="223"/>
      <c r="F60" s="17">
        <v>0</v>
      </c>
      <c r="G60" s="17">
        <v>0</v>
      </c>
      <c r="I60" s="38"/>
      <c r="J60" s="223"/>
      <c r="K60" s="223"/>
      <c r="L60" s="223"/>
      <c r="M60" s="232"/>
      <c r="N60" s="65"/>
    </row>
    <row r="61" spans="2:14" ht="13.5" thickBot="1" x14ac:dyDescent="0.25">
      <c r="B61" s="38"/>
      <c r="C61" s="223"/>
      <c r="D61" s="223"/>
      <c r="E61" s="223"/>
      <c r="F61" s="233"/>
      <c r="G61" s="234"/>
      <c r="I61" s="38"/>
      <c r="J61" s="223"/>
      <c r="K61" s="223"/>
      <c r="L61" s="223"/>
      <c r="M61" s="232"/>
      <c r="N61" s="65"/>
    </row>
    <row r="62" spans="2:14" ht="13.5" thickBot="1" x14ac:dyDescent="0.25">
      <c r="B62" s="245"/>
      <c r="C62" s="247" t="s">
        <v>5</v>
      </c>
      <c r="D62" s="246"/>
      <c r="E62" s="246"/>
      <c r="F62" s="17">
        <v>0</v>
      </c>
      <c r="G62" s="17">
        <v>0</v>
      </c>
      <c r="I62" s="245"/>
      <c r="J62" s="246"/>
      <c r="K62" s="246"/>
      <c r="L62" s="246"/>
      <c r="M62" s="247"/>
      <c r="N62" s="248"/>
    </row>
    <row r="66" spans="1:15" ht="13.5" thickBot="1" x14ac:dyDescent="0.25">
      <c r="A66" s="5"/>
      <c r="B66" s="5"/>
      <c r="C66" s="5"/>
      <c r="D66" s="5"/>
      <c r="E66" s="5"/>
      <c r="F66" s="125"/>
      <c r="G66" s="125"/>
      <c r="H66" s="5"/>
      <c r="I66" s="5"/>
      <c r="J66" s="5"/>
      <c r="K66" s="5"/>
      <c r="L66" s="5"/>
      <c r="M66" s="125"/>
      <c r="N66" s="125"/>
      <c r="O66" s="125"/>
    </row>
    <row r="67" spans="1:15" ht="13.5" thickTop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5">
    <pageSetUpPr fitToPage="1"/>
  </sheetPr>
  <dimension ref="A1:S42"/>
  <sheetViews>
    <sheetView view="pageBreakPreview" zoomScale="75" zoomScaleNormal="75" zoomScaleSheetLayoutView="75" workbookViewId="0">
      <selection activeCell="G28" sqref="G28"/>
    </sheetView>
  </sheetViews>
  <sheetFormatPr defaultColWidth="8.140625" defaultRowHeight="12.75" x14ac:dyDescent="0.2"/>
  <cols>
    <col min="1" max="5" width="8.140625" style="21" customWidth="1"/>
    <col min="6" max="6" width="14.85546875" style="21" bestFit="1" customWidth="1"/>
    <col min="7" max="7" width="14.42578125" style="21" bestFit="1" customWidth="1"/>
    <col min="8" max="9" width="14.85546875" style="21" bestFit="1" customWidth="1"/>
    <col min="10" max="13" width="8.140625" style="21" customWidth="1"/>
    <col min="14" max="14" width="18.7109375" style="21" customWidth="1"/>
    <col min="15" max="18" width="14.85546875" style="267" bestFit="1" customWidth="1"/>
    <col min="19" max="16384" width="8.140625" style="21"/>
  </cols>
  <sheetData>
    <row r="1" spans="1:19" x14ac:dyDescent="0.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66"/>
      <c r="P1" s="266"/>
      <c r="Q1" s="266"/>
      <c r="R1" s="266"/>
      <c r="S1" s="266"/>
    </row>
    <row r="2" spans="1:19" ht="26.25" x14ac:dyDescent="0.4">
      <c r="A2" s="214" t="s">
        <v>189</v>
      </c>
      <c r="B2" s="215"/>
      <c r="C2" s="215"/>
      <c r="D2" s="215"/>
      <c r="E2" s="215"/>
      <c r="F2" s="215"/>
      <c r="G2" s="215"/>
      <c r="H2" s="214"/>
      <c r="I2" s="215"/>
      <c r="J2" s="215"/>
      <c r="K2" s="215"/>
      <c r="L2" s="215"/>
      <c r="M2" s="215"/>
      <c r="N2" s="215"/>
      <c r="O2" s="269"/>
      <c r="P2" s="268"/>
      <c r="Q2" s="269"/>
      <c r="R2" s="269"/>
      <c r="S2" s="269"/>
    </row>
    <row r="3" spans="1:19" ht="13.5" thickBo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47"/>
      <c r="P3" s="47"/>
      <c r="Q3" s="47"/>
      <c r="R3" s="47"/>
    </row>
    <row r="4" spans="1:19" s="4" customFormat="1" ht="13.5" thickBot="1" x14ac:dyDescent="0.25">
      <c r="A4" s="63"/>
      <c r="B4" s="63" t="s">
        <v>70</v>
      </c>
      <c r="C4" s="63"/>
      <c r="D4" s="63"/>
      <c r="E4" s="63"/>
      <c r="F4" s="283">
        <f>G4+1</f>
        <v>2021</v>
      </c>
      <c r="G4" s="283">
        <f>H4+1</f>
        <v>2020</v>
      </c>
      <c r="H4" s="133">
        <f>'Stato Patrimoniale (input)'!F4</f>
        <v>2019</v>
      </c>
      <c r="I4" s="133">
        <f>'Stato Patrimoniale (input)'!G4</f>
        <v>2018</v>
      </c>
      <c r="J4" s="63"/>
      <c r="K4" s="63"/>
      <c r="L4" s="63"/>
      <c r="M4" s="63"/>
      <c r="N4" s="63"/>
      <c r="O4" s="283">
        <f>F4</f>
        <v>2021</v>
      </c>
      <c r="P4" s="283">
        <f>G4</f>
        <v>2020</v>
      </c>
      <c r="Q4" s="284">
        <f>H4</f>
        <v>2019</v>
      </c>
      <c r="R4" s="284">
        <f>I4</f>
        <v>2018</v>
      </c>
    </row>
    <row r="5" spans="1:19" ht="13.5" thickBot="1" x14ac:dyDescent="0.25">
      <c r="A5" s="94"/>
      <c r="B5" s="63"/>
      <c r="C5" s="94"/>
      <c r="D5" s="94"/>
      <c r="E5" s="94"/>
      <c r="F5" s="265"/>
      <c r="G5" s="265"/>
      <c r="H5" s="92"/>
      <c r="I5" s="92"/>
      <c r="J5" s="94"/>
      <c r="K5" s="94"/>
      <c r="L5" s="94"/>
      <c r="M5" s="94"/>
      <c r="N5" s="94"/>
      <c r="O5" s="47"/>
      <c r="P5" s="47"/>
      <c r="Q5" s="47"/>
      <c r="R5" s="47"/>
    </row>
    <row r="6" spans="1:19" ht="13.5" thickBot="1" x14ac:dyDescent="0.25">
      <c r="A6" s="94"/>
      <c r="B6" s="63" t="s">
        <v>1</v>
      </c>
      <c r="C6" s="94"/>
      <c r="D6" s="94"/>
      <c r="E6" s="94"/>
      <c r="F6" s="263">
        <v>12</v>
      </c>
      <c r="G6" s="263">
        <v>12</v>
      </c>
      <c r="H6" s="88">
        <f>'Stato Patrimoniale (input)'!F6</f>
        <v>12</v>
      </c>
      <c r="I6" s="88">
        <f>'Stato Patrimoniale (input)'!G6</f>
        <v>12</v>
      </c>
      <c r="J6" s="94"/>
      <c r="K6" s="63" t="s">
        <v>117</v>
      </c>
      <c r="L6" s="63"/>
      <c r="M6" s="63"/>
      <c r="N6" s="63"/>
      <c r="O6" s="352">
        <f>P6+'Parametri Previsione (input)'!N40-'Parametri Previsione (input)'!N42+'CE Previsionale L-E (output)'!O30</f>
        <v>351.95848541666669</v>
      </c>
      <c r="P6" s="352">
        <f>Q6+'Parametri Previsione (input)'!M40-'Parametri Previsione (input)'!M42+'CE Previsionale L-E (output)'!P30</f>
        <v>266.87479166666662</v>
      </c>
      <c r="Q6" s="220">
        <f>'Stato Patrimoniale (input)'!M6</f>
        <v>200</v>
      </c>
      <c r="R6" s="220">
        <f>'Stato Patrimoniale (input)'!N6</f>
        <v>200</v>
      </c>
      <c r="S6" s="84"/>
    </row>
    <row r="7" spans="1:19" ht="13.5" thickBot="1" x14ac:dyDescent="0.25">
      <c r="A7" s="94"/>
      <c r="B7" s="94"/>
      <c r="C7" s="94"/>
      <c r="D7" s="94"/>
      <c r="E7" s="94"/>
      <c r="F7" s="47"/>
      <c r="G7" s="265"/>
      <c r="H7" s="92"/>
      <c r="I7" s="92"/>
      <c r="J7" s="94"/>
      <c r="K7" s="63"/>
      <c r="L7" s="63"/>
      <c r="M7" s="63"/>
      <c r="N7" s="63"/>
      <c r="O7" s="360"/>
      <c r="P7" s="360"/>
      <c r="Q7" s="265"/>
      <c r="R7" s="265"/>
    </row>
    <row r="8" spans="1:19" ht="13.5" thickBot="1" x14ac:dyDescent="0.25">
      <c r="A8" s="94"/>
      <c r="B8" s="94"/>
      <c r="C8" s="94"/>
      <c r="D8" s="94"/>
      <c r="E8" s="94"/>
      <c r="F8" s="47"/>
      <c r="G8" s="265"/>
      <c r="H8" s="92"/>
      <c r="I8" s="92"/>
      <c r="J8" s="94"/>
      <c r="K8" s="63" t="s">
        <v>14</v>
      </c>
      <c r="L8" s="63"/>
      <c r="M8" s="63"/>
      <c r="N8" s="63"/>
      <c r="O8" s="361">
        <f>P8+'Parametri Previsione (input)'!F22</f>
        <v>0</v>
      </c>
      <c r="P8" s="361">
        <f>Q8+'Parametri Previsione (input)'!G22</f>
        <v>0</v>
      </c>
      <c r="Q8" s="220">
        <f>'Stato Patrimoniale (input)'!M8</f>
        <v>0</v>
      </c>
      <c r="R8" s="220">
        <f>'Stato Patrimoniale (input)'!N8</f>
        <v>0</v>
      </c>
    </row>
    <row r="9" spans="1:19" ht="13.5" thickBot="1" x14ac:dyDescent="0.25">
      <c r="A9" s="94"/>
      <c r="B9" s="94"/>
      <c r="C9" s="94"/>
      <c r="D9" s="94"/>
      <c r="E9" s="94"/>
      <c r="F9" s="47"/>
      <c r="G9" s="265"/>
      <c r="H9" s="92"/>
      <c r="I9" s="92"/>
      <c r="J9" s="94"/>
      <c r="K9" s="63"/>
      <c r="L9" s="63"/>
      <c r="M9" s="63"/>
      <c r="N9" s="63"/>
      <c r="O9" s="360"/>
      <c r="P9" s="360"/>
      <c r="Q9" s="265"/>
      <c r="R9" s="265"/>
    </row>
    <row r="10" spans="1:19" ht="13.5" thickBot="1" x14ac:dyDescent="0.25">
      <c r="A10" s="94"/>
      <c r="B10" s="63" t="s">
        <v>2</v>
      </c>
      <c r="C10" s="94"/>
      <c r="D10" s="94"/>
      <c r="E10" s="94"/>
      <c r="F10" s="358">
        <f>G10+'Parametri Previsione (input)'!G48-'CE Previsionale L-E (output)'!O12-'Parametri Previsione (input)'!G52</f>
        <v>20</v>
      </c>
      <c r="G10" s="358">
        <f>H10+'Parametri Previsione (input)'!F48-'CE Previsionale L-E (output)'!P12-'Parametri Previsione (input)'!F52</f>
        <v>60</v>
      </c>
      <c r="H10" s="88">
        <f>'Stato Patrimoniale (input)'!F10</f>
        <v>100</v>
      </c>
      <c r="I10" s="88">
        <f>'Stato Patrimoniale (input)'!G10</f>
        <v>100</v>
      </c>
      <c r="J10" s="94"/>
      <c r="K10" s="63" t="s">
        <v>15</v>
      </c>
      <c r="L10" s="63"/>
      <c r="M10" s="63"/>
      <c r="N10" s="63"/>
      <c r="O10" s="356">
        <f>P10+'Parametri Previsione (input)'!G18</f>
        <v>85</v>
      </c>
      <c r="P10" s="356">
        <f>Q10+'Parametri Previsione (input)'!F18</f>
        <v>85</v>
      </c>
      <c r="Q10" s="220">
        <f>'Stato Patrimoniale (input)'!M10</f>
        <v>100</v>
      </c>
      <c r="R10" s="220">
        <f>'Stato Patrimoniale (input)'!N10</f>
        <v>100</v>
      </c>
    </row>
    <row r="11" spans="1:19" ht="13.5" thickBot="1" x14ac:dyDescent="0.25">
      <c r="A11" s="94"/>
      <c r="B11" s="63"/>
      <c r="C11" s="94"/>
      <c r="D11" s="94"/>
      <c r="E11" s="94"/>
      <c r="F11" s="359"/>
      <c r="G11" s="359"/>
      <c r="H11" s="92"/>
      <c r="I11" s="92"/>
      <c r="J11" s="94"/>
      <c r="K11" s="63"/>
      <c r="L11" s="63"/>
      <c r="M11" s="63"/>
      <c r="N11" s="63"/>
      <c r="O11" s="368"/>
      <c r="P11" s="368"/>
      <c r="Q11" s="265"/>
      <c r="R11" s="265"/>
    </row>
    <row r="12" spans="1:19" ht="13.5" thickBot="1" x14ac:dyDescent="0.25">
      <c r="A12" s="94"/>
      <c r="B12" s="63" t="s">
        <v>112</v>
      </c>
      <c r="C12" s="94"/>
      <c r="D12" s="94"/>
      <c r="E12" s="94"/>
      <c r="F12" s="358">
        <f>G12+'Parametri Previsione (input)'!G40-'CE Previsionale L-E (output)'!F26-'Parametri Previsione (input)'!G44</f>
        <v>340</v>
      </c>
      <c r="G12" s="358">
        <f>H12+'Parametri Previsione (input)'!F40-'CE Previsionale L-E (output)'!G26-'Parametri Previsione (input)'!F44</f>
        <v>420</v>
      </c>
      <c r="H12" s="88">
        <f>'Stato Patrimoniale (input)'!F12</f>
        <v>500</v>
      </c>
      <c r="I12" s="88">
        <f>'Stato Patrimoniale (input)'!G12</f>
        <v>500</v>
      </c>
      <c r="J12" s="94"/>
      <c r="K12" s="63" t="s">
        <v>16</v>
      </c>
      <c r="L12" s="63"/>
      <c r="M12" s="63"/>
      <c r="N12" s="63"/>
      <c r="O12" s="369">
        <f>O14+O16+O18</f>
        <v>220</v>
      </c>
      <c r="P12" s="369">
        <f>P14+P16+P18</f>
        <v>210</v>
      </c>
      <c r="Q12" s="220">
        <f>Q14+Q16+Q18</f>
        <v>200</v>
      </c>
      <c r="R12" s="220">
        <f>R14+R16+R18</f>
        <v>200</v>
      </c>
      <c r="S12" s="84"/>
    </row>
    <row r="13" spans="1:19" ht="13.5" thickBot="1" x14ac:dyDescent="0.25">
      <c r="A13" s="94"/>
      <c r="B13" s="94"/>
      <c r="C13" s="94"/>
      <c r="D13" s="94"/>
      <c r="E13" s="94"/>
      <c r="F13" s="359"/>
      <c r="G13" s="359"/>
      <c r="H13" s="92"/>
      <c r="I13" s="92"/>
      <c r="J13" s="94"/>
      <c r="K13" s="63"/>
      <c r="L13" s="63"/>
      <c r="M13" s="63"/>
      <c r="N13" s="63"/>
      <c r="O13" s="368"/>
      <c r="P13" s="368"/>
      <c r="Q13" s="265"/>
      <c r="R13" s="265"/>
    </row>
    <row r="14" spans="1:19" ht="13.5" thickBot="1" x14ac:dyDescent="0.25">
      <c r="A14" s="94"/>
      <c r="B14" s="63" t="s">
        <v>4</v>
      </c>
      <c r="C14" s="94"/>
      <c r="D14" s="94"/>
      <c r="E14" s="94"/>
      <c r="F14" s="358">
        <f>G14+'Parametri Previsione (input)'!G56-'Parametri Previsione (input)'!G60</f>
        <v>0</v>
      </c>
      <c r="G14" s="358">
        <f>H14+'Parametri Previsione (input)'!F56-'Parametri Previsione (input)'!F60</f>
        <v>0</v>
      </c>
      <c r="H14" s="88">
        <f>'Stato Patrimoniale (input)'!F14</f>
        <v>0</v>
      </c>
      <c r="I14" s="88">
        <f>'Stato Patrimoniale (input)'!G14</f>
        <v>0</v>
      </c>
      <c r="J14" s="94"/>
      <c r="K14" s="63"/>
      <c r="L14" s="63" t="s">
        <v>17</v>
      </c>
      <c r="M14" s="63"/>
      <c r="N14" s="63"/>
      <c r="O14" s="369">
        <f>P14+'Parametri Previsione (input)'!N44-'Parametri Previsione (input)'!N46</f>
        <v>220</v>
      </c>
      <c r="P14" s="369">
        <f>Q14+'Parametri Previsione (input)'!M44-'Parametri Previsione (input)'!M46</f>
        <v>200</v>
      </c>
      <c r="Q14" s="220">
        <f>'Stato Patrimoniale (input)'!M14</f>
        <v>180</v>
      </c>
      <c r="R14" s="220">
        <f>'Stato Patrimoniale (input)'!N14</f>
        <v>180</v>
      </c>
    </row>
    <row r="15" spans="1:19" ht="13.5" thickBot="1" x14ac:dyDescent="0.25">
      <c r="A15" s="94"/>
      <c r="B15" s="63"/>
      <c r="C15" s="94"/>
      <c r="D15" s="94"/>
      <c r="E15" s="94"/>
      <c r="F15" s="359"/>
      <c r="G15" s="359"/>
      <c r="H15" s="92"/>
      <c r="I15" s="92"/>
      <c r="J15" s="94"/>
      <c r="K15" s="63"/>
      <c r="L15" s="63"/>
      <c r="M15" s="63"/>
      <c r="N15" s="63"/>
      <c r="O15" s="360"/>
      <c r="P15" s="360"/>
      <c r="Q15" s="265"/>
      <c r="R15" s="265"/>
    </row>
    <row r="16" spans="1:19" ht="13.5" thickBot="1" x14ac:dyDescent="0.25">
      <c r="A16" s="94"/>
      <c r="B16" s="94"/>
      <c r="C16" s="63" t="s">
        <v>5</v>
      </c>
      <c r="D16" s="94"/>
      <c r="E16" s="94"/>
      <c r="F16" s="358">
        <f>G16+'Parametri Previsione (input)'!G58-'Parametri Previsione (input)'!G62</f>
        <v>0</v>
      </c>
      <c r="G16" s="358">
        <f>H16+'Parametri Previsione (input)'!F58-'Parametri Previsione (input)'!F62</f>
        <v>0</v>
      </c>
      <c r="H16" s="88">
        <f>'Stato Patrimoniale (input)'!F16</f>
        <v>0</v>
      </c>
      <c r="I16" s="88">
        <f>'Stato Patrimoniale (input)'!G16</f>
        <v>0</v>
      </c>
      <c r="J16" s="94"/>
      <c r="K16" s="63"/>
      <c r="L16" s="63" t="s">
        <v>19</v>
      </c>
      <c r="M16" s="63"/>
      <c r="N16" s="63"/>
      <c r="O16" s="361">
        <f>P16+'Parametri Previsione (input)'!N48-'Parametri Previsione (input)'!N50</f>
        <v>0</v>
      </c>
      <c r="P16" s="361">
        <f>Q16+'Parametri Previsione (input)'!M48-'Parametri Previsione (input)'!M50</f>
        <v>0</v>
      </c>
      <c r="Q16" s="220">
        <f>'Stato Patrimoniale (input)'!M16</f>
        <v>0</v>
      </c>
      <c r="R16" s="220">
        <f>'Stato Patrimoniale (input)'!N16</f>
        <v>0</v>
      </c>
    </row>
    <row r="17" spans="1:19" ht="13.5" thickBot="1" x14ac:dyDescent="0.25">
      <c r="A17" s="94"/>
      <c r="B17" s="94"/>
      <c r="C17" s="94"/>
      <c r="D17" s="94"/>
      <c r="E17" s="94"/>
      <c r="F17" s="359"/>
      <c r="G17" s="359"/>
      <c r="H17" s="92"/>
      <c r="I17" s="92"/>
      <c r="J17" s="94"/>
      <c r="K17" s="63"/>
      <c r="L17" s="219"/>
      <c r="M17" s="219"/>
      <c r="N17" s="219"/>
      <c r="O17" s="360"/>
      <c r="P17" s="360"/>
      <c r="Q17" s="265"/>
      <c r="R17" s="265"/>
    </row>
    <row r="18" spans="1:19" ht="13.5" thickBot="1" x14ac:dyDescent="0.25">
      <c r="A18" s="94"/>
      <c r="B18" s="94"/>
      <c r="C18" s="94"/>
      <c r="D18" s="94"/>
      <c r="E18" s="94"/>
      <c r="F18" s="359"/>
      <c r="G18" s="359"/>
      <c r="H18" s="92"/>
      <c r="I18" s="92"/>
      <c r="J18" s="94"/>
      <c r="K18" s="63"/>
      <c r="L18" s="219" t="s">
        <v>205</v>
      </c>
      <c r="M18" s="219"/>
      <c r="N18" s="219"/>
      <c r="O18" s="369">
        <f>P18+'Parametri Previsione (input)'!N54-'Parametri Previsione (input)'!N56</f>
        <v>0</v>
      </c>
      <c r="P18" s="369">
        <f>Q18+'Parametri Previsione (input)'!M54-'Parametri Previsione (input)'!M56</f>
        <v>10</v>
      </c>
      <c r="Q18" s="220">
        <f>'Stato Patrimoniale (input)'!M18</f>
        <v>20</v>
      </c>
      <c r="R18" s="220">
        <f>'Stato Patrimoniale (input)'!N18</f>
        <v>20</v>
      </c>
    </row>
    <row r="19" spans="1:19" ht="13.5" thickBot="1" x14ac:dyDescent="0.25">
      <c r="A19" s="94"/>
      <c r="B19" s="94"/>
      <c r="C19" s="94"/>
      <c r="D19" s="94"/>
      <c r="E19" s="94"/>
      <c r="F19" s="359"/>
      <c r="G19" s="359"/>
      <c r="H19" s="92"/>
      <c r="I19" s="92"/>
      <c r="J19" s="94"/>
      <c r="K19" s="63"/>
      <c r="L19" s="63"/>
      <c r="M19" s="63"/>
      <c r="N19" s="63"/>
      <c r="O19" s="360"/>
      <c r="P19" s="360"/>
      <c r="Q19" s="265"/>
      <c r="R19" s="265"/>
    </row>
    <row r="20" spans="1:19" ht="13.5" thickBot="1" x14ac:dyDescent="0.25">
      <c r="A20" s="94"/>
      <c r="B20" s="76" t="s">
        <v>6</v>
      </c>
      <c r="C20" s="76"/>
      <c r="D20" s="76"/>
      <c r="E20" s="76"/>
      <c r="F20" s="351">
        <f>F10+F12+F14</f>
        <v>360</v>
      </c>
      <c r="G20" s="351">
        <f>G10+G12+G14</f>
        <v>480</v>
      </c>
      <c r="H20" s="186">
        <f>H10+H12+H14</f>
        <v>600</v>
      </c>
      <c r="I20" s="186">
        <f>I10+I12+I14</f>
        <v>600</v>
      </c>
      <c r="J20" s="94"/>
      <c r="K20" s="76" t="s">
        <v>20</v>
      </c>
      <c r="L20" s="76"/>
      <c r="M20" s="76"/>
      <c r="N20" s="76"/>
      <c r="O20" s="356">
        <f>O6+O8+O10+O12</f>
        <v>656.95848541666669</v>
      </c>
      <c r="P20" s="356">
        <f>P6+P8+P10+P12</f>
        <v>561.87479166666662</v>
      </c>
      <c r="Q20" s="270">
        <f>Q6+Q8+Q10+Q12</f>
        <v>500</v>
      </c>
      <c r="R20" s="270">
        <f>R6+R8+R10+R12</f>
        <v>500</v>
      </c>
    </row>
    <row r="21" spans="1:19" ht="13.5" thickBot="1" x14ac:dyDescent="0.25">
      <c r="A21" s="94"/>
      <c r="B21" s="94"/>
      <c r="C21" s="94"/>
      <c r="D21" s="94"/>
      <c r="E21" s="94"/>
      <c r="F21" s="359"/>
      <c r="G21" s="359"/>
      <c r="H21" s="92"/>
      <c r="I21" s="92"/>
      <c r="J21" s="94"/>
      <c r="K21" s="94"/>
      <c r="L21" s="94"/>
      <c r="M21" s="94"/>
      <c r="N21" s="94"/>
      <c r="O21" s="368"/>
      <c r="P21" s="368"/>
      <c r="Q21" s="265"/>
      <c r="R21" s="265"/>
    </row>
    <row r="22" spans="1:19" ht="13.5" thickBot="1" x14ac:dyDescent="0.25">
      <c r="A22" s="94"/>
      <c r="B22" s="63" t="s">
        <v>7</v>
      </c>
      <c r="C22" s="94"/>
      <c r="D22" s="94"/>
      <c r="E22" s="94"/>
      <c r="F22" s="370">
        <f>'CE Previsionale L-E (output)'!F10/360*'Parametri Previsione (input)'!N10</f>
        <v>595.35416666666663</v>
      </c>
      <c r="G22" s="370">
        <f>'CE Previsionale L-E (output)'!G10/360*'Parametri Previsione (input)'!M10</f>
        <v>580.83333333333326</v>
      </c>
      <c r="H22" s="88">
        <f>'Stato Patrimoniale (input)'!F22</f>
        <v>600</v>
      </c>
      <c r="I22" s="88">
        <f>'Stato Patrimoniale (input)'!G22</f>
        <v>600</v>
      </c>
      <c r="J22" s="94"/>
      <c r="K22" s="63" t="s">
        <v>21</v>
      </c>
      <c r="L22" s="63"/>
      <c r="M22" s="63"/>
      <c r="N22" s="63"/>
      <c r="O22" s="369">
        <f>'Modello di Calcolo a Parziali'!N22+'CE Previsionale L-E (output)'!O26+O24</f>
        <v>928.77068124999983</v>
      </c>
      <c r="P22" s="369">
        <f>'Modello di Calcolo a Parziali'!O22+'CE Previsionale L-E (output)'!P26+P24</f>
        <v>1113.9585416666666</v>
      </c>
      <c r="Q22" s="220">
        <f>'Stato Patrimoniale (input)'!M22</f>
        <v>1300</v>
      </c>
      <c r="R22" s="220">
        <f>'Stato Patrimoniale (input)'!N22</f>
        <v>1300</v>
      </c>
      <c r="S22" s="22"/>
    </row>
    <row r="23" spans="1:19" ht="13.5" thickBot="1" x14ac:dyDescent="0.25">
      <c r="A23" s="94"/>
      <c r="B23" s="63"/>
      <c r="C23" s="94"/>
      <c r="D23" s="94"/>
      <c r="E23" s="94"/>
      <c r="F23" s="371"/>
      <c r="G23" s="371"/>
      <c r="H23" s="92"/>
      <c r="I23" s="92"/>
      <c r="J23" s="94"/>
      <c r="K23" s="63"/>
      <c r="L23" s="63"/>
      <c r="M23" s="63"/>
      <c r="N23" s="63"/>
      <c r="O23" s="368"/>
      <c r="P23" s="368"/>
      <c r="Q23" s="265"/>
      <c r="R23" s="265"/>
    </row>
    <row r="24" spans="1:19" ht="13.5" thickBot="1" x14ac:dyDescent="0.25">
      <c r="A24" s="94"/>
      <c r="B24" s="63"/>
      <c r="C24" s="63" t="s">
        <v>113</v>
      </c>
      <c r="D24" s="94"/>
      <c r="E24" s="94"/>
      <c r="F24" s="370">
        <f>IF(G24=0,0,(F22/G22)*G24)</f>
        <v>0</v>
      </c>
      <c r="G24" s="370">
        <f>IF(H24=0,0,(G22/H22)*H24)</f>
        <v>0</v>
      </c>
      <c r="H24" s="88">
        <f>'Stato Patrimoniale (input)'!F24</f>
        <v>0</v>
      </c>
      <c r="I24" s="88">
        <f>'Stato Patrimoniale (input)'!G24</f>
        <v>0</v>
      </c>
      <c r="J24" s="94"/>
      <c r="K24" s="63"/>
      <c r="L24" s="63" t="s">
        <v>213</v>
      </c>
      <c r="M24" s="63"/>
      <c r="N24" s="63"/>
      <c r="O24" s="369">
        <f>IF('Modello di Calcolo a Parziali'!F37+'CE Previsionale L-E (output)'!O18-'CE Previsionale L-E (output)'!O22-'CE Previsionale L-E (output)'!O16-'CE Previsionale L-E (output)'!O28&lt;0,0,'Modello di Calcolo a Parziali'!F37+'CE Previsionale L-E (output)'!O18-'CE Previsionale L-E (output)'!O22-'CE Previsionale L-E (output)'!O16-'CE Previsionale L-E (output)'!O28)</f>
        <v>366.47997361111078</v>
      </c>
      <c r="P24" s="369">
        <f>IF('Modello di Calcolo a Parziali'!G37+'CE Previsionale L-E (output)'!P18-'CE Previsionale L-E (output)'!P22-'CE Previsionale L-E (output)'!P16-'CE Previsionale L-E (output)'!P28&lt;0,0,'Modello di Calcolo a Parziali'!G37+'CE Previsionale L-E (output)'!P18-'CE Previsionale L-E (output)'!P22-'CE Previsionale L-E (output)'!P16-'CE Previsionale L-E (output)'!P28)</f>
        <v>578.20875000000001</v>
      </c>
      <c r="Q24" s="220">
        <f>'Stato Patrimoniale (input)'!M24</f>
        <v>800</v>
      </c>
      <c r="R24" s="220">
        <f>'Stato Patrimoniale (input)'!N24</f>
        <v>800</v>
      </c>
      <c r="S24" s="84"/>
    </row>
    <row r="25" spans="1:19" ht="13.5" thickBot="1" x14ac:dyDescent="0.25">
      <c r="A25" s="94"/>
      <c r="B25" s="94"/>
      <c r="C25" s="94"/>
      <c r="D25" s="94"/>
      <c r="E25" s="94"/>
      <c r="F25" s="371"/>
      <c r="G25" s="371"/>
      <c r="H25" s="92"/>
      <c r="I25" s="92"/>
      <c r="J25" s="94"/>
      <c r="K25" s="63"/>
      <c r="L25" s="63"/>
      <c r="M25" s="63"/>
      <c r="N25" s="63"/>
      <c r="O25" s="368"/>
      <c r="P25" s="368"/>
      <c r="Q25" s="265"/>
      <c r="R25" s="265"/>
      <c r="S25" s="84"/>
    </row>
    <row r="26" spans="1:19" ht="13.5" thickBot="1" x14ac:dyDescent="0.25">
      <c r="A26" s="94"/>
      <c r="B26" s="63" t="s">
        <v>9</v>
      </c>
      <c r="C26" s="94"/>
      <c r="D26" s="94"/>
      <c r="E26" s="94"/>
      <c r="F26" s="370">
        <f>((G26-G28)*(1+'Parametri Previsione (input)'!N14))+F28</f>
        <v>619.86874999999998</v>
      </c>
      <c r="G26" s="370">
        <f>((H26-H28)*(1+'Parametri Previsione (input)'!M14))+G28</f>
        <v>604.75</v>
      </c>
      <c r="H26" s="88">
        <f>'Stato Patrimoniale (input)'!F26</f>
        <v>590</v>
      </c>
      <c r="I26" s="88">
        <f>'Stato Patrimoniale (input)'!G26</f>
        <v>590</v>
      </c>
      <c r="J26" s="94"/>
      <c r="K26" s="63"/>
      <c r="L26" s="63" t="s">
        <v>18</v>
      </c>
      <c r="M26" s="63"/>
      <c r="N26" s="63"/>
      <c r="O26" s="369">
        <f>('CE Previsionale L-E (output)'!F14+'CE Previsionale L-E (output)'!F16)/360*'Parametri Previsione (input)'!N12</f>
        <v>486.19451388888893</v>
      </c>
      <c r="P26" s="369">
        <f>('CE Previsionale L-E (output)'!G14+'CE Previsionale L-E (output)'!G16)/360*'Parametri Previsione (input)'!M12</f>
        <v>478.375</v>
      </c>
      <c r="Q26" s="220">
        <f>'Stato Patrimoniale (input)'!M26</f>
        <v>450</v>
      </c>
      <c r="R26" s="220">
        <f>'Stato Patrimoniale (input)'!N26</f>
        <v>450</v>
      </c>
      <c r="S26" s="84"/>
    </row>
    <row r="27" spans="1:19" ht="13.5" thickBot="1" x14ac:dyDescent="0.25">
      <c r="A27" s="94"/>
      <c r="B27" s="63"/>
      <c r="C27" s="94"/>
      <c r="D27" s="94"/>
      <c r="E27" s="94"/>
      <c r="F27" s="371"/>
      <c r="G27" s="371"/>
      <c r="H27" s="92"/>
      <c r="I27" s="92"/>
      <c r="J27" s="94"/>
      <c r="K27" s="63"/>
      <c r="L27" s="63"/>
      <c r="M27" s="63"/>
      <c r="N27" s="63"/>
      <c r="O27" s="368"/>
      <c r="P27" s="368"/>
      <c r="Q27" s="265"/>
      <c r="R27" s="265"/>
    </row>
    <row r="28" spans="1:19" ht="13.5" thickBot="1" x14ac:dyDescent="0.25">
      <c r="A28" s="94"/>
      <c r="B28" s="94"/>
      <c r="C28" s="63" t="s">
        <v>114</v>
      </c>
      <c r="D28" s="94"/>
      <c r="E28" s="94"/>
      <c r="F28" s="370">
        <f>'Parametri Previsione (input)'!N8*'CE Previsionale L-E (output)'!F10/360</f>
        <v>619.86874999999998</v>
      </c>
      <c r="G28" s="370">
        <f>'Parametri Previsione (input)'!M8*'CE Previsionale L-E (output)'!G10/360</f>
        <v>604.75</v>
      </c>
      <c r="H28" s="88">
        <f>'Stato Patrimoniale (input)'!F28</f>
        <v>590</v>
      </c>
      <c r="I28" s="88">
        <f>'Stato Patrimoniale (input)'!G28</f>
        <v>590</v>
      </c>
      <c r="J28" s="94"/>
      <c r="K28" s="66"/>
      <c r="L28" s="63" t="s">
        <v>22</v>
      </c>
      <c r="M28" s="63"/>
      <c r="N28" s="63"/>
      <c r="O28" s="369">
        <f>'Parametri Previsione (input)'!N52</f>
        <v>0</v>
      </c>
      <c r="P28" s="369">
        <f>'Parametri Previsione (input)'!M52</f>
        <v>0</v>
      </c>
      <c r="Q28" s="220">
        <f>'Stato Patrimoniale (input)'!M28</f>
        <v>0</v>
      </c>
      <c r="R28" s="220">
        <f>'Stato Patrimoniale (input)'!N28</f>
        <v>0</v>
      </c>
    </row>
    <row r="29" spans="1:19" ht="13.5" thickBot="1" x14ac:dyDescent="0.25">
      <c r="A29" s="94"/>
      <c r="B29" s="94"/>
      <c r="C29" s="63"/>
      <c r="D29" s="94"/>
      <c r="E29" s="94"/>
      <c r="F29" s="371"/>
      <c r="G29" s="371"/>
      <c r="H29" s="92"/>
      <c r="I29" s="92"/>
      <c r="J29" s="94"/>
      <c r="K29" s="63"/>
      <c r="L29" s="63"/>
      <c r="M29" s="63"/>
      <c r="N29" s="63"/>
      <c r="O29" s="360"/>
      <c r="P29" s="360"/>
      <c r="Q29" s="265"/>
      <c r="R29" s="265"/>
      <c r="S29" s="84"/>
    </row>
    <row r="30" spans="1:19" ht="13.5" thickBot="1" x14ac:dyDescent="0.25">
      <c r="A30" s="94"/>
      <c r="B30" s="63" t="s">
        <v>48</v>
      </c>
      <c r="C30" s="94"/>
      <c r="D30" s="94"/>
      <c r="E30" s="94"/>
      <c r="F30" s="369">
        <f>IF(('Modello di Calcolo a Parziali'!F37+'CE Previsionale L-E (output)'!O18-'Parametri Previsione (input)'!F30-'CE Previsionale L-E (output)'!O16-'CE Previsionale L-E (output)'!O28)&lt;0,(-1*('Modello di Calcolo a Parziali'!F37+'CE Previsionale L-E (output)'!O18-'Parametri Previsione (input)'!F30-'CE Previsionale L-E (output)'!O16-'CE Previsionale L-E (output)'!O28))+H30*(1+'Parametri Previsione (input)'!M16)*(1+'Parametri Previsione (input)'!N16),H30*(1+'Parametri Previsione (input)'!M16)*(1+'Parametri Previsione (input)'!N16))</f>
        <v>10.50625</v>
      </c>
      <c r="G30" s="369">
        <f>IF(('Modello di Calcolo a Parziali'!G37+'CE Previsionale L-E (output)'!P18-'Parametri Previsione (input)'!G30-'CE Previsionale L-E (output)'!P16-'CE Previsionale L-E (output)'!P28)&lt;0,(-1*('Modello di Calcolo a Parziali'!G37+'CE Previsionale L-E (output)'!P18-'Parametri Previsione (input)'!G30-'CE Previsionale L-E (output)'!P16-'CE Previsionale L-E (output)'!P28))+H30*(1+'Parametri Previsione (input)'!N16),H30*(1+'Parametri Previsione (input)'!N16))</f>
        <v>10.25</v>
      </c>
      <c r="H30" s="88">
        <f>'Stato Patrimoniale (input)'!F30</f>
        <v>10</v>
      </c>
      <c r="I30" s="88">
        <f>'Stato Patrimoniale (input)'!G30</f>
        <v>10</v>
      </c>
      <c r="J30" s="94"/>
      <c r="K30" s="63" t="s">
        <v>23</v>
      </c>
      <c r="L30" s="63"/>
      <c r="M30" s="63"/>
      <c r="N30" s="63"/>
      <c r="O30" s="361">
        <f>P30*(1+'Parametri Previsione (input)'!N20)</f>
        <v>0</v>
      </c>
      <c r="P30" s="361">
        <f>Q30*(1+'Parametri Previsione (input)'!M20)</f>
        <v>0</v>
      </c>
      <c r="Q30" s="220">
        <f>'Stato Patrimoniale (input)'!M30</f>
        <v>0</v>
      </c>
      <c r="R30" s="220">
        <f>'Stato Patrimoniale (input)'!N30</f>
        <v>0</v>
      </c>
    </row>
    <row r="31" spans="1:19" ht="13.5" thickBot="1" x14ac:dyDescent="0.25">
      <c r="A31" s="94"/>
      <c r="B31" s="94"/>
      <c r="C31" s="94"/>
      <c r="D31" s="94"/>
      <c r="E31" s="94"/>
      <c r="F31" s="368"/>
      <c r="G31" s="368"/>
      <c r="H31" s="92"/>
      <c r="I31" s="92"/>
      <c r="J31" s="94"/>
      <c r="K31" s="94"/>
      <c r="L31" s="94"/>
      <c r="M31" s="94"/>
      <c r="N31" s="94"/>
      <c r="O31" s="262"/>
      <c r="P31" s="262"/>
      <c r="Q31" s="265"/>
      <c r="R31" s="265"/>
    </row>
    <row r="32" spans="1:19" ht="13.5" thickBot="1" x14ac:dyDescent="0.25">
      <c r="A32" s="94"/>
      <c r="B32" s="76" t="s">
        <v>11</v>
      </c>
      <c r="C32" s="76"/>
      <c r="D32" s="76"/>
      <c r="E32" s="76"/>
      <c r="F32" s="356">
        <f>F22+F26+F30</f>
        <v>1225.7291666666665</v>
      </c>
      <c r="G32" s="356">
        <f>G22+G26+G30</f>
        <v>1195.8333333333333</v>
      </c>
      <c r="H32" s="186">
        <f>H22+H26+H30</f>
        <v>1200</v>
      </c>
      <c r="I32" s="186">
        <f>I22+I26+I30</f>
        <v>1200</v>
      </c>
      <c r="J32" s="94"/>
      <c r="K32" s="76" t="s">
        <v>24</v>
      </c>
      <c r="L32" s="76"/>
      <c r="M32" s="76"/>
      <c r="N32" s="76"/>
      <c r="O32" s="264">
        <f>O22+O30</f>
        <v>928.77068124999983</v>
      </c>
      <c r="P32" s="264">
        <f>P22+P30</f>
        <v>1113.9585416666666</v>
      </c>
      <c r="Q32" s="270">
        <f>Q22+Q30</f>
        <v>1300</v>
      </c>
      <c r="R32" s="270">
        <f>R22+R30</f>
        <v>1300</v>
      </c>
    </row>
    <row r="33" spans="1:19" ht="13.5" thickBot="1" x14ac:dyDescent="0.25">
      <c r="A33" s="94"/>
      <c r="B33" s="94"/>
      <c r="C33" s="94"/>
      <c r="D33" s="94"/>
      <c r="E33" s="94"/>
      <c r="F33" s="368"/>
      <c r="G33" s="368"/>
      <c r="H33" s="92"/>
      <c r="I33" s="92"/>
      <c r="J33" s="94"/>
      <c r="K33" s="94"/>
      <c r="L33" s="94"/>
      <c r="M33" s="94"/>
      <c r="N33" s="94"/>
      <c r="O33" s="262"/>
      <c r="P33" s="262"/>
      <c r="Q33" s="265"/>
      <c r="R33" s="265"/>
    </row>
    <row r="34" spans="1:19" ht="13.5" thickBot="1" x14ac:dyDescent="0.25">
      <c r="A34" s="94"/>
      <c r="B34" s="94"/>
      <c r="C34" s="63" t="s">
        <v>12</v>
      </c>
      <c r="D34" s="94"/>
      <c r="E34" s="94"/>
      <c r="F34" s="352">
        <f>F20+F32</f>
        <v>1585.7291666666665</v>
      </c>
      <c r="G34" s="352">
        <f>G20+G32</f>
        <v>1675.8333333333333</v>
      </c>
      <c r="H34" s="357">
        <f>H20+H32</f>
        <v>1800</v>
      </c>
      <c r="I34" s="357">
        <f>I20+I32</f>
        <v>1800</v>
      </c>
      <c r="J34" s="94"/>
      <c r="K34" s="94"/>
      <c r="L34" s="63" t="s">
        <v>25</v>
      </c>
      <c r="M34" s="94"/>
      <c r="N34" s="94"/>
      <c r="O34" s="352">
        <f>O20+O32</f>
        <v>1585.7291666666665</v>
      </c>
      <c r="P34" s="352">
        <f>P20+P32</f>
        <v>1675.8333333333333</v>
      </c>
      <c r="Q34" s="270">
        <f>Q20+Q32</f>
        <v>1800</v>
      </c>
      <c r="R34" s="270">
        <f>R20+R32</f>
        <v>1800</v>
      </c>
    </row>
    <row r="35" spans="1:19" ht="13.5" thickBot="1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47"/>
      <c r="P35" s="47"/>
      <c r="Q35" s="47"/>
      <c r="R35" s="47"/>
    </row>
    <row r="36" spans="1:19" ht="13.5" thickBot="1" x14ac:dyDescent="0.25">
      <c r="A36" s="94"/>
      <c r="B36" s="94"/>
      <c r="C36" s="94"/>
      <c r="D36" s="94"/>
      <c r="E36" s="94"/>
      <c r="F36" s="96"/>
      <c r="G36" s="94"/>
      <c r="H36" s="96"/>
      <c r="I36" s="94"/>
      <c r="J36" s="94"/>
      <c r="K36" s="94" t="s">
        <v>184</v>
      </c>
      <c r="L36" s="94"/>
      <c r="M36" s="94"/>
      <c r="N36" s="94"/>
      <c r="O36" s="220"/>
      <c r="P36" s="220"/>
      <c r="Q36" s="220">
        <f>'Stato Patrimoniale (input)'!M36</f>
        <v>0</v>
      </c>
      <c r="R36" s="220">
        <f>'Stato Patrimoniale (input)'!N36</f>
        <v>0</v>
      </c>
    </row>
    <row r="37" spans="1:19" ht="13.5" thickBot="1" x14ac:dyDescent="0.25">
      <c r="A37" s="94"/>
      <c r="B37" s="94"/>
      <c r="C37" s="94"/>
      <c r="D37" s="94"/>
      <c r="E37" s="94"/>
      <c r="F37" s="94"/>
      <c r="G37" s="96"/>
      <c r="H37" s="96"/>
      <c r="I37" s="94"/>
      <c r="J37" s="94"/>
      <c r="K37" s="94" t="s">
        <v>181</v>
      </c>
      <c r="L37" s="94"/>
      <c r="M37" s="94"/>
      <c r="N37" s="94"/>
      <c r="O37" s="220"/>
      <c r="P37" s="220"/>
      <c r="Q37" s="220">
        <f>'Stato Patrimoniale (input)'!M37</f>
        <v>0</v>
      </c>
      <c r="R37" s="220">
        <f>'Stato Patrimoniale (input)'!N37</f>
        <v>0</v>
      </c>
    </row>
    <row r="38" spans="1:19" ht="13.5" thickBo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 t="s">
        <v>185</v>
      </c>
      <c r="L38" s="94"/>
      <c r="M38" s="94"/>
      <c r="N38" s="94"/>
      <c r="O38" s="220"/>
      <c r="P38" s="220"/>
      <c r="Q38" s="220">
        <f>'Stato Patrimoniale (input)'!M38</f>
        <v>0</v>
      </c>
      <c r="R38" s="220">
        <f>'Stato Patrimoniale (input)'!N38</f>
        <v>0</v>
      </c>
    </row>
    <row r="39" spans="1:19" ht="13.5" thickBo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 t="s">
        <v>186</v>
      </c>
      <c r="L39" s="94"/>
      <c r="M39" s="94"/>
      <c r="N39" s="94"/>
      <c r="O39" s="220"/>
      <c r="P39" s="220"/>
      <c r="Q39" s="220">
        <f>'Stato Patrimoniale (input)'!M39</f>
        <v>0</v>
      </c>
      <c r="R39" s="220">
        <f>'Stato Patrimoniale (input)'!N39</f>
        <v>0</v>
      </c>
    </row>
    <row r="40" spans="1:19" ht="13.5" thickBot="1" x14ac:dyDescent="0.25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271"/>
      <c r="P40" s="271"/>
      <c r="Q40" s="271"/>
      <c r="R40" s="271"/>
      <c r="S40" s="271"/>
    </row>
    <row r="41" spans="1:19" ht="13.5" thickTop="1" x14ac:dyDescent="0.2"/>
    <row r="42" spans="1:19" x14ac:dyDescent="0.2">
      <c r="J42" s="8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6">
    <pageSetUpPr fitToPage="1"/>
  </sheetPr>
  <dimension ref="A1:U38"/>
  <sheetViews>
    <sheetView view="pageBreakPreview" zoomScale="85" zoomScaleNormal="75" zoomScaleSheetLayoutView="85" workbookViewId="0">
      <selection activeCell="M32" sqref="M32"/>
    </sheetView>
  </sheetViews>
  <sheetFormatPr defaultColWidth="9.140625" defaultRowHeight="12.75" x14ac:dyDescent="0.2"/>
  <cols>
    <col min="1" max="1" width="5.85546875" style="8" customWidth="1"/>
    <col min="2" max="5" width="9.140625" style="8"/>
    <col min="6" max="7" width="14.42578125" style="8" bestFit="1" customWidth="1"/>
    <col min="8" max="8" width="14" style="8" bestFit="1" customWidth="1"/>
    <col min="9" max="9" width="14.42578125" style="8" bestFit="1" customWidth="1"/>
    <col min="10" max="10" width="4" style="8" customWidth="1"/>
    <col min="11" max="11" width="12.42578125" style="8" bestFit="1" customWidth="1"/>
    <col min="12" max="12" width="15.5703125" style="8" bestFit="1" customWidth="1"/>
    <col min="13" max="14" width="9.140625" style="8"/>
    <col min="15" max="15" width="12.5703125" style="8" customWidth="1"/>
    <col min="16" max="16" width="12.5703125" style="8" bestFit="1" customWidth="1"/>
    <col min="17" max="17" width="12.42578125" style="8" bestFit="1" customWidth="1"/>
    <col min="18" max="18" width="11.42578125" style="8" bestFit="1" customWidth="1"/>
    <col min="19" max="20" width="9.140625" style="8"/>
    <col min="21" max="21" width="9.85546875" style="8" bestFit="1" customWidth="1"/>
    <col min="22" max="16384" width="9.140625" style="8"/>
  </cols>
  <sheetData>
    <row r="1" spans="1:19" x14ac:dyDescent="0.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66"/>
      <c r="P1" s="266"/>
      <c r="Q1" s="266"/>
      <c r="R1" s="217"/>
      <c r="S1" s="217"/>
    </row>
    <row r="2" spans="1:19" ht="26.25" x14ac:dyDescent="0.4">
      <c r="A2" s="214" t="s">
        <v>190</v>
      </c>
      <c r="B2" s="215"/>
      <c r="C2" s="215"/>
      <c r="D2" s="215"/>
      <c r="E2" s="215"/>
      <c r="F2" s="215"/>
      <c r="G2" s="215"/>
      <c r="H2" s="214"/>
      <c r="I2" s="215"/>
      <c r="J2" s="215"/>
      <c r="K2" s="215"/>
      <c r="L2" s="215"/>
      <c r="M2" s="215"/>
      <c r="N2" s="215"/>
      <c r="O2" s="269"/>
      <c r="P2" s="268"/>
      <c r="Q2" s="269"/>
      <c r="R2" s="214"/>
      <c r="S2" s="215"/>
    </row>
    <row r="3" spans="1:19" ht="13.5" thickBo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 s="6" customFormat="1" ht="13.5" thickBot="1" x14ac:dyDescent="0.25">
      <c r="A4" s="82"/>
      <c r="B4" s="82" t="s">
        <v>0</v>
      </c>
      <c r="C4" s="82"/>
      <c r="D4" s="82"/>
      <c r="E4" s="82"/>
      <c r="F4" s="282">
        <f>G4+1</f>
        <v>2021</v>
      </c>
      <c r="G4" s="282">
        <f>'Modello di Calcolo a Parziali'!G4</f>
        <v>2020</v>
      </c>
      <c r="H4" s="272">
        <f>'Modello di Calcolo a Parziali'!H4</f>
        <v>2019</v>
      </c>
      <c r="I4" s="272">
        <f>H4-1</f>
        <v>2018</v>
      </c>
      <c r="J4" s="82"/>
      <c r="K4" s="82"/>
      <c r="L4" s="82"/>
      <c r="M4" s="82"/>
      <c r="N4" s="82"/>
      <c r="O4" s="282">
        <f>F4</f>
        <v>2021</v>
      </c>
      <c r="P4" s="282">
        <f>G4</f>
        <v>2020</v>
      </c>
      <c r="Q4" s="272">
        <f>H4</f>
        <v>2019</v>
      </c>
      <c r="R4" s="272">
        <f>I4</f>
        <v>2018</v>
      </c>
    </row>
    <row r="5" spans="1:19" ht="13.5" thickBot="1" x14ac:dyDescent="0.25">
      <c r="A5" s="45"/>
      <c r="B5" s="82"/>
      <c r="C5" s="45"/>
      <c r="D5" s="45"/>
      <c r="E5" s="45"/>
      <c r="F5" s="47"/>
      <c r="G5" s="47"/>
      <c r="H5" s="36"/>
      <c r="I5" s="36"/>
      <c r="J5" s="45"/>
      <c r="K5" s="45"/>
      <c r="L5" s="45"/>
      <c r="M5" s="45"/>
      <c r="N5" s="45"/>
      <c r="O5" s="45"/>
      <c r="P5" s="45"/>
      <c r="Q5" s="45"/>
      <c r="R5" s="45"/>
    </row>
    <row r="6" spans="1:19" ht="13.5" thickBot="1" x14ac:dyDescent="0.25">
      <c r="A6" s="45"/>
      <c r="B6" s="82" t="s">
        <v>1</v>
      </c>
      <c r="C6" s="45"/>
      <c r="D6" s="45"/>
      <c r="E6" s="45"/>
      <c r="F6" s="279">
        <f>G6</f>
        <v>12</v>
      </c>
      <c r="G6" s="279">
        <f>'Modello di Calcolo a Parziali'!G6</f>
        <v>12</v>
      </c>
      <c r="H6" s="188">
        <f>'Modello di Calcolo a Parziali'!H6</f>
        <v>12</v>
      </c>
      <c r="I6" s="188">
        <f>H6</f>
        <v>12</v>
      </c>
      <c r="J6" s="45"/>
      <c r="K6" s="189"/>
      <c r="L6" s="189"/>
      <c r="M6" s="63"/>
      <c r="N6" s="63"/>
      <c r="O6" s="82"/>
      <c r="P6" s="45"/>
      <c r="Q6" s="45"/>
      <c r="R6" s="45"/>
    </row>
    <row r="7" spans="1:19" x14ac:dyDescent="0.2">
      <c r="A7" s="45"/>
      <c r="B7" s="45"/>
      <c r="C7" s="45"/>
      <c r="D7" s="45"/>
      <c r="E7" s="45"/>
      <c r="F7" s="278"/>
      <c r="G7" s="278"/>
      <c r="H7" s="45"/>
      <c r="I7" s="45"/>
      <c r="J7" s="45"/>
      <c r="K7" s="82"/>
      <c r="L7" s="82"/>
      <c r="M7" s="82"/>
      <c r="N7" s="82"/>
      <c r="O7" s="82"/>
      <c r="P7" s="45"/>
      <c r="Q7" s="45"/>
      <c r="R7" s="45"/>
    </row>
    <row r="8" spans="1:19" x14ac:dyDescent="0.2">
      <c r="A8" s="45"/>
      <c r="B8" s="45"/>
      <c r="C8" s="45"/>
      <c r="D8" s="45"/>
      <c r="E8" s="45"/>
      <c r="F8" s="278"/>
      <c r="G8" s="278"/>
      <c r="H8" s="45"/>
      <c r="I8" s="45"/>
      <c r="J8" s="45"/>
      <c r="K8" s="82"/>
      <c r="L8" s="82"/>
      <c r="M8" s="82"/>
      <c r="N8" s="82"/>
      <c r="O8" s="82"/>
      <c r="P8" s="45"/>
      <c r="Q8" s="45"/>
      <c r="R8" s="45"/>
    </row>
    <row r="9" spans="1:19" ht="13.5" thickBot="1" x14ac:dyDescent="0.25">
      <c r="A9" s="45"/>
      <c r="B9" s="45"/>
      <c r="C9" s="45"/>
      <c r="D9" s="45"/>
      <c r="E9" s="45"/>
      <c r="F9" s="278"/>
      <c r="G9" s="278"/>
      <c r="H9" s="45"/>
      <c r="I9" s="45"/>
      <c r="J9" s="45"/>
      <c r="K9" s="82"/>
      <c r="L9" s="82"/>
      <c r="M9" s="82"/>
      <c r="N9" s="82"/>
      <c r="O9" s="82"/>
      <c r="P9" s="45"/>
      <c r="Q9" s="45"/>
      <c r="R9" s="45"/>
    </row>
    <row r="10" spans="1:19" ht="13.5" thickBot="1" x14ac:dyDescent="0.25">
      <c r="A10" s="45"/>
      <c r="B10" s="82" t="s">
        <v>26</v>
      </c>
      <c r="C10" s="45"/>
      <c r="D10" s="45"/>
      <c r="E10" s="45"/>
      <c r="F10" s="263">
        <f>G10*(1+'Parametri Previsione (input)'!G8)</f>
        <v>1260.75</v>
      </c>
      <c r="G10" s="263">
        <f>H10*(1+'Parametri Previsione (input)'!F8)</f>
        <v>1230</v>
      </c>
      <c r="H10" s="190">
        <f>'Conto Economico (input)'!F10</f>
        <v>1200</v>
      </c>
      <c r="I10" s="190">
        <f>'Conto Economico (input)'!G10</f>
        <v>1200</v>
      </c>
      <c r="J10" s="45"/>
      <c r="K10" s="82" t="s">
        <v>37</v>
      </c>
      <c r="L10" s="82"/>
      <c r="M10" s="82"/>
      <c r="N10" s="82"/>
      <c r="O10" s="306">
        <f>'Parametri Previsione (input)'!G24</f>
        <v>0</v>
      </c>
      <c r="P10" s="306">
        <f>'Parametri Previsione (input)'!F24</f>
        <v>0</v>
      </c>
      <c r="Q10" s="190">
        <f>'Conto Economico (input)'!M10</f>
        <v>0</v>
      </c>
      <c r="R10" s="190">
        <f>'Conto Economico (input)'!N10</f>
        <v>0</v>
      </c>
    </row>
    <row r="11" spans="1:19" ht="13.5" thickBot="1" x14ac:dyDescent="0.25">
      <c r="A11" s="45"/>
      <c r="B11" s="82"/>
      <c r="C11" s="45"/>
      <c r="D11" s="45"/>
      <c r="E11" s="45"/>
      <c r="F11" s="280"/>
      <c r="G11" s="262"/>
      <c r="H11" s="191"/>
      <c r="I11" s="191"/>
      <c r="J11" s="45"/>
      <c r="K11" s="82"/>
      <c r="L11" s="82"/>
      <c r="M11" s="82"/>
      <c r="N11" s="82"/>
      <c r="O11" s="301"/>
      <c r="P11" s="301"/>
      <c r="Q11" s="191"/>
      <c r="R11" s="191"/>
    </row>
    <row r="12" spans="1:19" ht="13.5" thickBot="1" x14ac:dyDescent="0.25">
      <c r="A12" s="45"/>
      <c r="B12" s="82" t="s">
        <v>27</v>
      </c>
      <c r="C12" s="45"/>
      <c r="D12" s="45"/>
      <c r="E12" s="45"/>
      <c r="F12" s="263">
        <f>'Modello di Calcolo a Parziali'!F22-'Modello di Calcolo a Parziali'!G22</f>
        <v>14.520833333333371</v>
      </c>
      <c r="G12" s="263">
        <f>'Modello di Calcolo a Parziali'!G22-'Modello di Calcolo a Parziali'!H22</f>
        <v>-19.166666666666742</v>
      </c>
      <c r="H12" s="190">
        <f>'Conto Economico (input)'!F12</f>
        <v>-100</v>
      </c>
      <c r="I12" s="190">
        <f>'Conto Economico (input)'!G12</f>
        <v>-100</v>
      </c>
      <c r="J12" s="45"/>
      <c r="K12" s="82" t="s">
        <v>38</v>
      </c>
      <c r="L12" s="82"/>
      <c r="M12" s="82"/>
      <c r="N12" s="82"/>
      <c r="O12" s="349">
        <f>IF('Parametri Previsione (input)'!G52&gt;0,(P12+'Parametri Previsione (input)'!G48*'Parametri Previsione (input)'!G50-(1/'Parametri Previsione (input)'!G54)*'Parametri Previsione (input)'!G52),(P12+'Parametri Previsione (input)'!G48*'Parametri Previsione (input)'!G50))</f>
        <v>40</v>
      </c>
      <c r="P12" s="349">
        <f>IF('Parametri Previsione (input)'!F52&gt;0,(Q12+'Parametri Previsione (input)'!F48*'Parametri Previsione (input)'!F50-(1/'Parametri Previsione (input)'!F54)*'Parametri Previsione (input)'!F52),(Q12+'Parametri Previsione (input)'!F48*'Parametri Previsione (input)'!F50))</f>
        <v>40</v>
      </c>
      <c r="Q12" s="190">
        <f>'Conto Economico (input)'!M12</f>
        <v>40</v>
      </c>
      <c r="R12" s="190">
        <f>'Conto Economico (input)'!N12</f>
        <v>40</v>
      </c>
    </row>
    <row r="13" spans="1:19" ht="13.5" thickBot="1" x14ac:dyDescent="0.25">
      <c r="A13" s="45"/>
      <c r="B13" s="45"/>
      <c r="C13" s="45"/>
      <c r="D13" s="45"/>
      <c r="E13" s="45"/>
      <c r="F13" s="280"/>
      <c r="G13" s="262"/>
      <c r="H13" s="191"/>
      <c r="I13" s="191"/>
      <c r="J13" s="45"/>
      <c r="K13" s="82"/>
      <c r="L13" s="82"/>
      <c r="M13" s="82"/>
      <c r="N13" s="82"/>
      <c r="O13" s="301"/>
      <c r="P13" s="301"/>
      <c r="Q13" s="191"/>
      <c r="R13" s="191"/>
    </row>
    <row r="14" spans="1:19" ht="13.5" thickBot="1" x14ac:dyDescent="0.25">
      <c r="A14" s="45"/>
      <c r="B14" s="82" t="s">
        <v>29</v>
      </c>
      <c r="C14" s="45"/>
      <c r="D14" s="45"/>
      <c r="E14" s="45"/>
      <c r="F14" s="263">
        <f>G14*(1+'Parametri Previsione (input)'!G10)</f>
        <v>643.68000000000006</v>
      </c>
      <c r="G14" s="263">
        <f>H14*(1+'Parametri Previsione (input)'!F10)</f>
        <v>596</v>
      </c>
      <c r="H14" s="190">
        <f>'Conto Economico (input)'!F14</f>
        <v>500</v>
      </c>
      <c r="I14" s="190">
        <f>'Conto Economico (input)'!G14</f>
        <v>500</v>
      </c>
      <c r="J14" s="45"/>
      <c r="K14" s="277" t="s">
        <v>39</v>
      </c>
      <c r="L14" s="277"/>
      <c r="M14" s="277"/>
      <c r="N14" s="277"/>
      <c r="O14" s="341">
        <f>F30+O10-O12</f>
        <v>133.36583333333348</v>
      </c>
      <c r="P14" s="341">
        <f>G30+P10-P12</f>
        <v>125.83333333333326</v>
      </c>
      <c r="Q14" s="186">
        <f>H30+Q10-Q12</f>
        <v>120</v>
      </c>
      <c r="R14" s="186">
        <f>I30+R10-R12</f>
        <v>120</v>
      </c>
    </row>
    <row r="15" spans="1:19" ht="13.5" thickBot="1" x14ac:dyDescent="0.25">
      <c r="A15" s="45"/>
      <c r="B15" s="82"/>
      <c r="C15" s="45"/>
      <c r="D15" s="45"/>
      <c r="E15" s="45"/>
      <c r="F15" s="280"/>
      <c r="G15" s="262"/>
      <c r="H15" s="191"/>
      <c r="I15" s="191"/>
      <c r="J15" s="45"/>
      <c r="K15" s="82"/>
      <c r="L15" s="82"/>
      <c r="M15" s="82"/>
      <c r="N15" s="82"/>
      <c r="O15" s="301"/>
      <c r="P15" s="301"/>
      <c r="Q15" s="191"/>
      <c r="R15" s="191"/>
    </row>
    <row r="16" spans="1:19" ht="13.5" thickBot="1" x14ac:dyDescent="0.25">
      <c r="A16" s="45"/>
      <c r="B16" s="82" t="s">
        <v>28</v>
      </c>
      <c r="C16" s="82"/>
      <c r="D16" s="45"/>
      <c r="E16" s="45"/>
      <c r="F16" s="263">
        <f>G16*(1+'Parametri Previsione (input)'!G12)</f>
        <v>210.12499999999994</v>
      </c>
      <c r="G16" s="263">
        <f>H16*(1+'Parametri Previsione (input)'!F12)</f>
        <v>204.99999999999997</v>
      </c>
      <c r="H16" s="190">
        <f>'Conto Economico (input)'!F16</f>
        <v>200</v>
      </c>
      <c r="I16" s="190">
        <f>'Conto Economico (input)'!G16</f>
        <v>200</v>
      </c>
      <c r="J16" s="45"/>
      <c r="K16" s="82" t="s">
        <v>40</v>
      </c>
      <c r="L16" s="82"/>
      <c r="M16" s="82"/>
      <c r="N16" s="82"/>
      <c r="O16" s="306">
        <f>'Parametri Previsione (input)'!G26</f>
        <v>0</v>
      </c>
      <c r="P16" s="306">
        <f>'Parametri Previsione (input)'!F26</f>
        <v>0</v>
      </c>
      <c r="Q16" s="190">
        <f>'Conto Economico (input)'!M16</f>
        <v>0</v>
      </c>
      <c r="R16" s="190">
        <f>'Conto Economico (input)'!N16</f>
        <v>0</v>
      </c>
    </row>
    <row r="17" spans="1:21" ht="13.5" thickBot="1" x14ac:dyDescent="0.25">
      <c r="A17" s="45"/>
      <c r="B17" s="82"/>
      <c r="C17" s="82"/>
      <c r="D17" s="45"/>
      <c r="E17" s="45"/>
      <c r="F17" s="280"/>
      <c r="G17" s="262"/>
      <c r="H17" s="191"/>
      <c r="I17" s="191"/>
      <c r="J17" s="45"/>
      <c r="K17" s="82"/>
      <c r="L17" s="82"/>
      <c r="M17" s="82"/>
      <c r="N17" s="82"/>
      <c r="O17" s="301"/>
      <c r="P17" s="301"/>
      <c r="Q17" s="191"/>
      <c r="R17" s="191"/>
    </row>
    <row r="18" spans="1:21" ht="13.5" thickBot="1" x14ac:dyDescent="0.25">
      <c r="A18" s="45"/>
      <c r="B18" s="82" t="s">
        <v>30</v>
      </c>
      <c r="C18" s="82"/>
      <c r="D18" s="45"/>
      <c r="E18" s="45"/>
      <c r="F18" s="263">
        <f>'Parametri Previsione (input)'!G14</f>
        <v>0</v>
      </c>
      <c r="G18" s="263">
        <f>'Parametri Previsione (input)'!F14</f>
        <v>0</v>
      </c>
      <c r="H18" s="190">
        <f>'Conto Economico (input)'!F18</f>
        <v>0</v>
      </c>
      <c r="I18" s="190">
        <f>'Conto Economico (input)'!G18</f>
        <v>0</v>
      </c>
      <c r="J18" s="45"/>
      <c r="K18" s="82" t="s">
        <v>41</v>
      </c>
      <c r="L18" s="82"/>
      <c r="M18" s="82"/>
      <c r="N18" s="82"/>
      <c r="O18" s="306">
        <f>'Modello di Calcolo a Parziali'!F38*'Parametri Previsione (input)'!G28</f>
        <v>23.198445833333324</v>
      </c>
      <c r="P18" s="306">
        <f>'Modello di Calcolo a Parziali'!G38*'Parametri Previsione (input)'!F28</f>
        <v>52.083749999999995</v>
      </c>
      <c r="Q18" s="190">
        <f>'Conto Economico (input)'!M18</f>
        <v>60</v>
      </c>
      <c r="R18" s="190">
        <f>'Conto Economico (input)'!N18</f>
        <v>60</v>
      </c>
    </row>
    <row r="19" spans="1:21" ht="13.5" thickBot="1" x14ac:dyDescent="0.25">
      <c r="A19" s="45"/>
      <c r="B19" s="45"/>
      <c r="C19" s="45"/>
      <c r="D19" s="45"/>
      <c r="E19" s="45"/>
      <c r="F19" s="280"/>
      <c r="G19" s="262"/>
      <c r="H19" s="191"/>
      <c r="I19" s="191"/>
      <c r="J19" s="45"/>
      <c r="K19" s="82"/>
      <c r="L19" s="82"/>
      <c r="M19" s="82"/>
      <c r="N19" s="82"/>
      <c r="O19" s="301"/>
      <c r="P19" s="301"/>
      <c r="Q19" s="191"/>
      <c r="R19" s="191"/>
    </row>
    <row r="20" spans="1:21" ht="13.5" thickBot="1" x14ac:dyDescent="0.25">
      <c r="A20" s="45"/>
      <c r="B20" s="277" t="s">
        <v>31</v>
      </c>
      <c r="C20" s="277"/>
      <c r="D20" s="277"/>
      <c r="E20" s="277"/>
      <c r="F20" s="264">
        <f>F10+F12-F14-F16+F18</f>
        <v>421.46583333333348</v>
      </c>
      <c r="G20" s="264">
        <f>G10+G12-G14-G16+G18</f>
        <v>409.83333333333326</v>
      </c>
      <c r="H20" s="186">
        <f>H10+H12-H14-H16+H18</f>
        <v>400</v>
      </c>
      <c r="I20" s="186">
        <f>I10+I12-I14-I16+I18</f>
        <v>400</v>
      </c>
      <c r="J20" s="45"/>
      <c r="K20" s="277" t="s">
        <v>42</v>
      </c>
      <c r="L20" s="277"/>
      <c r="M20" s="277"/>
      <c r="N20" s="277"/>
      <c r="O20" s="341">
        <f>O14+O16-O18</f>
        <v>110.16738750000016</v>
      </c>
      <c r="P20" s="341">
        <f>P14+P16-P18</f>
        <v>73.749583333333263</v>
      </c>
      <c r="Q20" s="186">
        <f>Q14+Q16-Q18</f>
        <v>60</v>
      </c>
      <c r="R20" s="186">
        <f>R14+R16-R18</f>
        <v>60</v>
      </c>
    </row>
    <row r="21" spans="1:21" ht="13.5" thickBot="1" x14ac:dyDescent="0.25">
      <c r="A21" s="45"/>
      <c r="B21" s="45"/>
      <c r="C21" s="45"/>
      <c r="D21" s="45"/>
      <c r="E21" s="45"/>
      <c r="F21" s="280"/>
      <c r="G21" s="262"/>
      <c r="H21" s="191"/>
      <c r="I21" s="191"/>
      <c r="J21" s="45"/>
      <c r="K21" s="45"/>
      <c r="L21" s="45"/>
      <c r="M21" s="45"/>
      <c r="N21" s="45"/>
      <c r="O21" s="301"/>
      <c r="P21" s="301"/>
      <c r="Q21" s="191"/>
      <c r="R21" s="191"/>
    </row>
    <row r="22" spans="1:21" ht="13.5" thickBot="1" x14ac:dyDescent="0.25">
      <c r="A22" s="45"/>
      <c r="B22" s="82" t="s">
        <v>32</v>
      </c>
      <c r="C22" s="45"/>
      <c r="D22" s="45"/>
      <c r="E22" s="45"/>
      <c r="F22" s="263">
        <f>G22*(1+'Parametri Previsione (input)'!G16)</f>
        <v>168.1</v>
      </c>
      <c r="G22" s="263">
        <f>H22*(1+'Parametri Previsione (input)'!F16)</f>
        <v>164</v>
      </c>
      <c r="H22" s="190">
        <f>'Conto Economico (input)'!F22</f>
        <v>160</v>
      </c>
      <c r="I22" s="190">
        <f>'Conto Economico (input)'!G22</f>
        <v>160</v>
      </c>
      <c r="J22" s="45"/>
      <c r="K22" s="82" t="s">
        <v>43</v>
      </c>
      <c r="L22" s="82"/>
      <c r="M22" s="82"/>
      <c r="N22" s="82"/>
      <c r="O22" s="306">
        <f>'Parametri Previsione (input)'!G30</f>
        <v>0</v>
      </c>
      <c r="P22" s="306">
        <f>'Parametri Previsione (input)'!F30</f>
        <v>0</v>
      </c>
      <c r="Q22" s="190">
        <f>'Conto Economico (input)'!M22</f>
        <v>0</v>
      </c>
      <c r="R22" s="190">
        <f>'Conto Economico (input)'!N22</f>
        <v>0</v>
      </c>
    </row>
    <row r="23" spans="1:21" ht="13.5" thickBot="1" x14ac:dyDescent="0.25">
      <c r="A23" s="45"/>
      <c r="B23" s="82"/>
      <c r="C23" s="45"/>
      <c r="D23" s="45"/>
      <c r="E23" s="45"/>
      <c r="F23" s="262"/>
      <c r="G23" s="262"/>
      <c r="H23" s="191"/>
      <c r="I23" s="191"/>
      <c r="J23" s="45"/>
      <c r="K23" s="82"/>
      <c r="L23" s="82"/>
      <c r="M23" s="82"/>
      <c r="N23" s="82"/>
      <c r="O23" s="301"/>
      <c r="P23" s="301"/>
      <c r="Q23" s="191"/>
      <c r="R23" s="191"/>
    </row>
    <row r="24" spans="1:21" ht="13.5" thickBot="1" x14ac:dyDescent="0.25">
      <c r="A24" s="45"/>
      <c r="B24" s="277" t="s">
        <v>33</v>
      </c>
      <c r="C24" s="277"/>
      <c r="D24" s="277"/>
      <c r="E24" s="277"/>
      <c r="F24" s="264">
        <f>F20-F22</f>
        <v>253.36583333333348</v>
      </c>
      <c r="G24" s="264">
        <f>G20-G22</f>
        <v>245.83333333333326</v>
      </c>
      <c r="H24" s="186">
        <f>H20-H22</f>
        <v>240</v>
      </c>
      <c r="I24" s="186">
        <f>I20-I22</f>
        <v>240</v>
      </c>
      <c r="J24" s="45"/>
      <c r="K24" s="277" t="s">
        <v>44</v>
      </c>
      <c r="L24" s="277"/>
      <c r="M24" s="277"/>
      <c r="N24" s="277"/>
      <c r="O24" s="341">
        <f>O20+O22</f>
        <v>110.16738750000016</v>
      </c>
      <c r="P24" s="341">
        <f>P20+P22</f>
        <v>73.749583333333263</v>
      </c>
      <c r="Q24" s="186">
        <f>Q20+Q22</f>
        <v>60</v>
      </c>
      <c r="R24" s="186">
        <f>R20+R22</f>
        <v>60</v>
      </c>
    </row>
    <row r="25" spans="1:21" ht="13.5" thickBot="1" x14ac:dyDescent="0.25">
      <c r="A25" s="45"/>
      <c r="B25" s="45"/>
      <c r="C25" s="45"/>
      <c r="D25" s="45"/>
      <c r="E25" s="45"/>
      <c r="F25" s="262"/>
      <c r="G25" s="262"/>
      <c r="H25" s="191"/>
      <c r="I25" s="191"/>
      <c r="J25" s="45"/>
      <c r="K25" s="82"/>
      <c r="L25" s="82"/>
      <c r="M25" s="82"/>
      <c r="N25" s="82"/>
      <c r="O25" s="301"/>
      <c r="P25" s="301"/>
      <c r="Q25" s="191"/>
      <c r="R25" s="191"/>
    </row>
    <row r="26" spans="1:21" ht="13.5" thickBot="1" x14ac:dyDescent="0.25">
      <c r="A26" s="45"/>
      <c r="B26" s="82" t="s">
        <v>34</v>
      </c>
      <c r="C26" s="45"/>
      <c r="D26" s="45"/>
      <c r="E26" s="45"/>
      <c r="F26" s="281">
        <f>IF('Parametri Previsione (input)'!G44&gt;0,(G26+'Parametri Previsione (input)'!G42*'Parametri Previsione (input)'!G40-(1/'Parametri Previsione (input)'!G46)*'Parametri Previsione (input)'!G44),(G26+'Parametri Previsione (input)'!G42*'Parametri Previsione (input)'!G40))</f>
        <v>80</v>
      </c>
      <c r="G26" s="281">
        <f>IF('Parametri Previsione (input)'!F44&gt;0,(H26+'Parametri Previsione (input)'!F42*'Parametri Previsione (input)'!F40-(1/'Parametri Previsione (input)'!F46)*'Parametri Previsione (input)'!F44),(H26+'Parametri Previsione (input)'!F42*'Parametri Previsione (input)'!F40))</f>
        <v>80</v>
      </c>
      <c r="H26" s="190">
        <f>'Conto Economico (input)'!F26</f>
        <v>80</v>
      </c>
      <c r="I26" s="190">
        <f>'Conto Economico (input)'!G26</f>
        <v>80</v>
      </c>
      <c r="J26" s="45"/>
      <c r="K26" s="82" t="s">
        <v>45</v>
      </c>
      <c r="L26" s="82"/>
      <c r="M26" s="82"/>
      <c r="N26" s="82"/>
      <c r="O26" s="306">
        <f>IF(IF(O24&gt;0,O24*'Parametri Previsione (input)'!G32,3.9%*(O24+O18+F22))&gt;0,IF(O24&gt;0,O24*'Parametri Previsione (input)'!G32,3.9%*(O24+O18+F22)),0)</f>
        <v>55.08369375000008</v>
      </c>
      <c r="P26" s="306">
        <f>IF(IF(P24&gt;0,P24*'Parametri Previsione (input)'!F32,3.9%*(P24+P18+G22))&gt;0,IF(P24&gt;0,P24*'Parametri Previsione (input)'!F32,3.9%*(P24+P18+G22)),0)</f>
        <v>36.874791666666631</v>
      </c>
      <c r="Q26" s="190">
        <f>'Conto Economico (input)'!M26</f>
        <v>30</v>
      </c>
      <c r="R26" s="190">
        <f>'Conto Economico (input)'!N26</f>
        <v>30</v>
      </c>
    </row>
    <row r="27" spans="1:21" ht="13.5" thickBot="1" x14ac:dyDescent="0.25">
      <c r="A27" s="45"/>
      <c r="B27" s="82"/>
      <c r="C27" s="45"/>
      <c r="D27" s="45"/>
      <c r="E27" s="45"/>
      <c r="F27" s="262"/>
      <c r="G27" s="262"/>
      <c r="H27" s="191"/>
      <c r="I27" s="191"/>
      <c r="J27" s="45"/>
      <c r="K27" s="82"/>
      <c r="L27" s="82"/>
      <c r="M27" s="82"/>
      <c r="N27" s="82"/>
      <c r="O27" s="301"/>
      <c r="P27" s="301"/>
      <c r="Q27" s="191"/>
      <c r="R27" s="191"/>
      <c r="U27" s="3"/>
    </row>
    <row r="28" spans="1:21" ht="13.5" thickBot="1" x14ac:dyDescent="0.25">
      <c r="A28" s="45"/>
      <c r="B28" s="82" t="s">
        <v>35</v>
      </c>
      <c r="C28" s="82"/>
      <c r="D28" s="45"/>
      <c r="E28" s="45"/>
      <c r="F28" s="263">
        <f>'Parametri Previsione (input)'!G20</f>
        <v>0</v>
      </c>
      <c r="G28" s="263">
        <f>'Parametri Previsione (input)'!F20</f>
        <v>0</v>
      </c>
      <c r="H28" s="190">
        <f>'Conto Economico (input)'!F28</f>
        <v>0</v>
      </c>
      <c r="I28" s="190">
        <f>'Conto Economico (input)'!G28</f>
        <v>0</v>
      </c>
      <c r="J28" s="45"/>
      <c r="K28" s="82" t="s">
        <v>46</v>
      </c>
      <c r="L28" s="82"/>
      <c r="M28" s="82"/>
      <c r="N28" s="82"/>
      <c r="O28" s="306">
        <f>'Parametri Previsione (input)'!G34</f>
        <v>0</v>
      </c>
      <c r="P28" s="306">
        <f>'Parametri Previsione (input)'!F34</f>
        <v>0</v>
      </c>
      <c r="Q28" s="190">
        <f>'Conto Economico (input)'!M28</f>
        <v>0</v>
      </c>
      <c r="R28" s="190">
        <f>'Conto Economico (input)'!N28</f>
        <v>0</v>
      </c>
      <c r="U28" s="132"/>
    </row>
    <row r="29" spans="1:21" ht="13.5" thickBot="1" x14ac:dyDescent="0.25">
      <c r="A29" s="45"/>
      <c r="B29" s="45"/>
      <c r="C29" s="82"/>
      <c r="D29" s="45"/>
      <c r="E29" s="45"/>
      <c r="F29" s="262"/>
      <c r="G29" s="262"/>
      <c r="H29" s="191"/>
      <c r="I29" s="191"/>
      <c r="J29" s="45"/>
      <c r="K29" s="82"/>
      <c r="L29" s="82"/>
      <c r="M29" s="82"/>
      <c r="N29" s="82"/>
      <c r="O29" s="301"/>
      <c r="P29" s="301"/>
      <c r="Q29" s="191"/>
      <c r="R29" s="191"/>
    </row>
    <row r="30" spans="1:21" ht="13.5" thickBot="1" x14ac:dyDescent="0.25">
      <c r="A30" s="45"/>
      <c r="B30" s="277" t="s">
        <v>36</v>
      </c>
      <c r="C30" s="277"/>
      <c r="D30" s="277"/>
      <c r="E30" s="277"/>
      <c r="F30" s="264">
        <f>F24-F26-F28</f>
        <v>173.36583333333348</v>
      </c>
      <c r="G30" s="264">
        <f>G24-G26-G28</f>
        <v>165.83333333333326</v>
      </c>
      <c r="H30" s="186">
        <f>H24-H26-H28</f>
        <v>160</v>
      </c>
      <c r="I30" s="186">
        <f>I24-I26-I28</f>
        <v>160</v>
      </c>
      <c r="J30" s="45"/>
      <c r="K30" s="277" t="s">
        <v>47</v>
      </c>
      <c r="L30" s="277"/>
      <c r="M30" s="277"/>
      <c r="N30" s="277"/>
      <c r="O30" s="362">
        <f>O24-O26+O28</f>
        <v>55.08369375000008</v>
      </c>
      <c r="P30" s="362">
        <f>P24-P26+P28</f>
        <v>36.874791666666631</v>
      </c>
      <c r="Q30" s="186">
        <f>Q24-Q26+Q28</f>
        <v>30</v>
      </c>
      <c r="R30" s="186">
        <f>R24-R26+R28</f>
        <v>30</v>
      </c>
    </row>
    <row r="31" spans="1:2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21" x14ac:dyDescent="0.2">
      <c r="A32" s="45"/>
      <c r="B32" s="45"/>
      <c r="C32" s="82"/>
      <c r="D32" s="45"/>
      <c r="E32" s="45"/>
      <c r="F32" s="45"/>
      <c r="G32" s="193"/>
      <c r="H32" s="74"/>
      <c r="I32" s="74"/>
      <c r="J32" s="45"/>
      <c r="K32" s="192"/>
      <c r="L32" s="192"/>
      <c r="M32" s="192"/>
      <c r="N32" s="192"/>
      <c r="O32" s="46"/>
      <c r="P32" s="46"/>
      <c r="Q32" s="46"/>
      <c r="R32" s="45"/>
    </row>
    <row r="33" spans="1:19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19" ht="13.5" thickBot="1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</row>
    <row r="35" spans="1:19" ht="13.5" thickTop="1" x14ac:dyDescent="0.2">
      <c r="O35" s="18"/>
      <c r="P35" s="18"/>
    </row>
    <row r="36" spans="1:19" x14ac:dyDescent="0.2">
      <c r="F36" s="23"/>
      <c r="G36" s="23"/>
      <c r="H36" s="23"/>
      <c r="I36" s="23"/>
      <c r="M36" s="18"/>
    </row>
    <row r="37" spans="1:19" x14ac:dyDescent="0.2">
      <c r="H37" s="3"/>
    </row>
    <row r="38" spans="1:19" x14ac:dyDescent="0.2">
      <c r="G38" s="2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8</vt:i4>
      </vt:variant>
    </vt:vector>
  </HeadingPairs>
  <TitlesOfParts>
    <vt:vector size="23" baseType="lpstr">
      <vt:lpstr>Intro</vt:lpstr>
      <vt:lpstr>Foglio1</vt:lpstr>
      <vt:lpstr>Stato Patrimoniale (input)</vt:lpstr>
      <vt:lpstr>Conto Economico (input)</vt:lpstr>
      <vt:lpstr>BILANCIO RIC. P-G (output)</vt:lpstr>
      <vt:lpstr>QUADRO DI SINTESI (output)</vt:lpstr>
      <vt:lpstr>Parametri Previsione (input)</vt:lpstr>
      <vt:lpstr>SP Previsionale L-E (output)</vt:lpstr>
      <vt:lpstr>CE Previsionale L-E (output)</vt:lpstr>
      <vt:lpstr>BILANCIO PREV P-G (output)</vt:lpstr>
      <vt:lpstr>QUADRO SINT PREV (output)</vt:lpstr>
      <vt:lpstr>Rendiconto Finanziario Storico</vt:lpstr>
      <vt:lpstr>Rend. Fin. Prev. (output)</vt:lpstr>
      <vt:lpstr>Modello di Calcolo a Parziali</vt:lpstr>
      <vt:lpstr>Indici di Bilancio</vt:lpstr>
      <vt:lpstr>'BILANCIO PREV P-G (output)'!Area_stampa</vt:lpstr>
      <vt:lpstr>'CE Previsionale L-E (output)'!Area_stampa</vt:lpstr>
      <vt:lpstr>'Conto Economico (input)'!Area_stampa</vt:lpstr>
      <vt:lpstr>'Parametri Previsione (input)'!Area_stampa</vt:lpstr>
      <vt:lpstr>'QUADRO DI SINTESI (output)'!Area_stampa</vt:lpstr>
      <vt:lpstr>'Rend. Fin. Prev. (output)'!Area_stampa</vt:lpstr>
      <vt:lpstr>'SP Previsionale L-E (output)'!Area_stampa</vt:lpstr>
      <vt:lpstr>'Stato Patrimoniale (input)'!Area_stampa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cebiu</dc:creator>
  <cp:lastModifiedBy>Taliano Giuseppe</cp:lastModifiedBy>
  <cp:lastPrinted>2019-03-13T11:59:13Z</cp:lastPrinted>
  <dcterms:created xsi:type="dcterms:W3CDTF">2005-03-18T15:58:58Z</dcterms:created>
  <dcterms:modified xsi:type="dcterms:W3CDTF">2019-06-18T14:27:44Z</dcterms:modified>
</cp:coreProperties>
</file>